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8_{5FFC4708-E4FB-4230-9F7E-87D7AE0C22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DE RESULTADOS INTEGRALES" sheetId="3" r:id="rId1"/>
  </sheets>
  <calcPr calcId="191029"/>
</workbook>
</file>

<file path=xl/calcChain.xml><?xml version="1.0" encoding="utf-8"?>
<calcChain xmlns="http://schemas.openxmlformats.org/spreadsheetml/2006/main">
  <c r="O174" i="3" l="1"/>
  <c r="L174" i="3"/>
  <c r="S174" i="3" s="1"/>
  <c r="S173" i="3"/>
  <c r="S175" i="3" s="1"/>
  <c r="S168" i="3"/>
  <c r="L168" i="3"/>
  <c r="P167" i="3"/>
  <c r="O167" i="3"/>
  <c r="N167" i="3"/>
  <c r="S164" i="3"/>
  <c r="S163" i="3"/>
  <c r="S162" i="3"/>
  <c r="S161" i="3"/>
  <c r="S160" i="3"/>
  <c r="S159" i="3"/>
  <c r="S158" i="3"/>
  <c r="S157" i="3"/>
  <c r="S156" i="3"/>
  <c r="S155" i="3"/>
  <c r="S154" i="3"/>
  <c r="S153" i="3"/>
  <c r="S152" i="3"/>
  <c r="S151" i="3"/>
  <c r="S150" i="3"/>
  <c r="S149" i="3"/>
  <c r="S148" i="3"/>
  <c r="M147" i="3"/>
  <c r="K147" i="3"/>
  <c r="S147" i="3" s="1"/>
  <c r="S146" i="3"/>
  <c r="S145" i="3"/>
  <c r="S144" i="3"/>
  <c r="S143" i="3"/>
  <c r="S142" i="3"/>
  <c r="S141" i="3"/>
  <c r="S140" i="3"/>
  <c r="S139" i="3"/>
  <c r="S138" i="3"/>
  <c r="S137" i="3"/>
  <c r="S136" i="3"/>
  <c r="S135" i="3"/>
  <c r="S134" i="3"/>
  <c r="S133" i="3"/>
  <c r="S132" i="3"/>
  <c r="S131" i="3"/>
  <c r="S130" i="3"/>
  <c r="S129" i="3"/>
  <c r="S128" i="3"/>
  <c r="S127" i="3"/>
  <c r="S126" i="3"/>
  <c r="S125" i="3"/>
  <c r="S124" i="3"/>
  <c r="S123" i="3"/>
  <c r="N122" i="3"/>
  <c r="S122" i="3" s="1"/>
  <c r="S121" i="3"/>
  <c r="S120" i="3"/>
  <c r="Q119" i="3"/>
  <c r="P119" i="3"/>
  <c r="O119" i="3"/>
  <c r="M119" i="3"/>
  <c r="L119" i="3"/>
  <c r="J119" i="3"/>
  <c r="I119" i="3"/>
  <c r="H119" i="3"/>
  <c r="G119" i="3"/>
  <c r="F119" i="3"/>
  <c r="R114" i="3"/>
  <c r="S108" i="3"/>
  <c r="S107" i="3"/>
  <c r="S106" i="3"/>
  <c r="Q105" i="3"/>
  <c r="Q110" i="3" s="1"/>
  <c r="P105" i="3"/>
  <c r="P110" i="3" s="1"/>
  <c r="O105" i="3"/>
  <c r="O110" i="3" s="1"/>
  <c r="N105" i="3"/>
  <c r="N110" i="3" s="1"/>
  <c r="M105" i="3"/>
  <c r="M110" i="3" s="1"/>
  <c r="L105" i="3"/>
  <c r="L110" i="3" s="1"/>
  <c r="K105" i="3"/>
  <c r="K110" i="3" s="1"/>
  <c r="J105" i="3"/>
  <c r="J110" i="3" s="1"/>
  <c r="I105" i="3"/>
  <c r="I110" i="3" s="1"/>
  <c r="H105" i="3"/>
  <c r="H110" i="3" s="1"/>
  <c r="G105" i="3"/>
  <c r="G110" i="3" s="1"/>
  <c r="F105" i="3"/>
  <c r="F110" i="3" s="1"/>
  <c r="S100" i="3"/>
  <c r="Q99" i="3"/>
  <c r="P99" i="3"/>
  <c r="O99" i="3"/>
  <c r="N99" i="3"/>
  <c r="M99" i="3"/>
  <c r="L99" i="3"/>
  <c r="K99" i="3"/>
  <c r="J99" i="3"/>
  <c r="I99" i="3"/>
  <c r="H99" i="3"/>
  <c r="G99" i="3"/>
  <c r="F99" i="3"/>
  <c r="S97" i="3"/>
  <c r="Q96" i="3"/>
  <c r="P96" i="3"/>
  <c r="O96" i="3"/>
  <c r="N96" i="3"/>
  <c r="M96" i="3"/>
  <c r="L96" i="3"/>
  <c r="K96" i="3"/>
  <c r="J96" i="3"/>
  <c r="I96" i="3"/>
  <c r="H96" i="3"/>
  <c r="G96" i="3"/>
  <c r="F96" i="3"/>
  <c r="S96" i="3" s="1"/>
  <c r="S94" i="3"/>
  <c r="S93" i="3"/>
  <c r="S92" i="3"/>
  <c r="Q91" i="3"/>
  <c r="P91" i="3"/>
  <c r="O91" i="3"/>
  <c r="N91" i="3"/>
  <c r="M91" i="3"/>
  <c r="L91" i="3"/>
  <c r="K91" i="3"/>
  <c r="J91" i="3"/>
  <c r="I91" i="3"/>
  <c r="H91" i="3"/>
  <c r="G91" i="3"/>
  <c r="F91" i="3"/>
  <c r="S88" i="3"/>
  <c r="S87" i="3"/>
  <c r="S86" i="3"/>
  <c r="S85" i="3"/>
  <c r="Q84" i="3"/>
  <c r="P84" i="3"/>
  <c r="O84" i="3"/>
  <c r="N84" i="3"/>
  <c r="M84" i="3"/>
  <c r="L84" i="3"/>
  <c r="K84" i="3"/>
  <c r="J84" i="3"/>
  <c r="I84" i="3"/>
  <c r="H84" i="3"/>
  <c r="G84" i="3"/>
  <c r="F84" i="3"/>
  <c r="S82" i="3"/>
  <c r="Q81" i="3"/>
  <c r="S81" i="3" s="1"/>
  <c r="S80" i="3"/>
  <c r="S79" i="3"/>
  <c r="Q78" i="3"/>
  <c r="P78" i="3"/>
  <c r="O78" i="3"/>
  <c r="N78" i="3"/>
  <c r="M78" i="3"/>
  <c r="L78" i="3"/>
  <c r="K78" i="3"/>
  <c r="J78" i="3"/>
  <c r="I78" i="3"/>
  <c r="H78" i="3"/>
  <c r="G78" i="3"/>
  <c r="F78" i="3"/>
  <c r="S78" i="3" s="1"/>
  <c r="Q77" i="3"/>
  <c r="P77" i="3"/>
  <c r="O77" i="3"/>
  <c r="N77" i="3"/>
  <c r="M77" i="3"/>
  <c r="L77" i="3"/>
  <c r="K77" i="3"/>
  <c r="J77" i="3"/>
  <c r="I77" i="3"/>
  <c r="H77" i="3"/>
  <c r="G77" i="3"/>
  <c r="F77" i="3"/>
  <c r="S77" i="3" s="1"/>
  <c r="Q76" i="3"/>
  <c r="P76" i="3"/>
  <c r="P102" i="3" s="1"/>
  <c r="O76" i="3"/>
  <c r="O102" i="3" s="1"/>
  <c r="N76" i="3"/>
  <c r="N102" i="3" s="1"/>
  <c r="M76" i="3"/>
  <c r="L76" i="3"/>
  <c r="L102" i="3" s="1"/>
  <c r="K76" i="3"/>
  <c r="K102" i="3" s="1"/>
  <c r="J76" i="3"/>
  <c r="J102" i="3" s="1"/>
  <c r="I76" i="3"/>
  <c r="H76" i="3"/>
  <c r="H102" i="3" s="1"/>
  <c r="G76" i="3"/>
  <c r="G102" i="3" s="1"/>
  <c r="F76" i="3"/>
  <c r="S76" i="3" s="1"/>
  <c r="S70" i="3"/>
  <c r="Q69" i="3"/>
  <c r="P69" i="3"/>
  <c r="O69" i="3"/>
  <c r="N69" i="3"/>
  <c r="M69" i="3"/>
  <c r="L69" i="3"/>
  <c r="K69" i="3"/>
  <c r="J69" i="3"/>
  <c r="I69" i="3"/>
  <c r="H69" i="3"/>
  <c r="G69" i="3"/>
  <c r="F69" i="3"/>
  <c r="S67" i="3"/>
  <c r="S66" i="3"/>
  <c r="Q65" i="3"/>
  <c r="P65" i="3"/>
  <c r="O65" i="3"/>
  <c r="N65" i="3"/>
  <c r="M65" i="3"/>
  <c r="L65" i="3"/>
  <c r="K65" i="3"/>
  <c r="J65" i="3"/>
  <c r="I65" i="3"/>
  <c r="H65" i="3"/>
  <c r="G65" i="3"/>
  <c r="F65" i="3"/>
  <c r="S62" i="3"/>
  <c r="Q62" i="3"/>
  <c r="S61" i="3"/>
  <c r="Q60" i="3"/>
  <c r="P60" i="3"/>
  <c r="O60" i="3"/>
  <c r="N60" i="3"/>
  <c r="M60" i="3"/>
  <c r="L60" i="3"/>
  <c r="K60" i="3"/>
  <c r="J60" i="3"/>
  <c r="I60" i="3"/>
  <c r="H60" i="3"/>
  <c r="G60" i="3"/>
  <c r="F60" i="3"/>
  <c r="S58" i="3"/>
  <c r="Q57" i="3"/>
  <c r="P57" i="3"/>
  <c r="O57" i="3"/>
  <c r="N57" i="3"/>
  <c r="M57" i="3"/>
  <c r="L57" i="3"/>
  <c r="K57" i="3"/>
  <c r="J57" i="3"/>
  <c r="I57" i="3"/>
  <c r="H57" i="3"/>
  <c r="G57" i="3"/>
  <c r="F57" i="3"/>
  <c r="S55" i="3"/>
  <c r="S54" i="3"/>
  <c r="S53" i="3"/>
  <c r="S52" i="3"/>
  <c r="S51" i="3"/>
  <c r="P50" i="3"/>
  <c r="O50" i="3"/>
  <c r="S50" i="3" s="1"/>
  <c r="Q49" i="3"/>
  <c r="P49" i="3"/>
  <c r="N49" i="3"/>
  <c r="M49" i="3"/>
  <c r="L49" i="3"/>
  <c r="K49" i="3"/>
  <c r="J49" i="3"/>
  <c r="I49" i="3"/>
  <c r="H49" i="3"/>
  <c r="G49" i="3"/>
  <c r="F49" i="3"/>
  <c r="S47" i="3"/>
  <c r="S46" i="3"/>
  <c r="S45" i="3"/>
  <c r="S44" i="3"/>
  <c r="S43" i="3"/>
  <c r="S42" i="3"/>
  <c r="O41" i="3"/>
  <c r="S41" i="3" s="1"/>
  <c r="S40" i="3"/>
  <c r="O39" i="3"/>
  <c r="S39" i="3" s="1"/>
  <c r="Q38" i="3"/>
  <c r="Q37" i="3" s="1"/>
  <c r="P38" i="3"/>
  <c r="S38" i="3" s="1"/>
  <c r="N37" i="3"/>
  <c r="M37" i="3"/>
  <c r="L37" i="3"/>
  <c r="K37" i="3"/>
  <c r="J37" i="3"/>
  <c r="I37" i="3"/>
  <c r="H37" i="3"/>
  <c r="G37" i="3"/>
  <c r="F37" i="3"/>
  <c r="S35" i="3"/>
  <c r="Q34" i="3"/>
  <c r="P34" i="3"/>
  <c r="O34" i="3"/>
  <c r="N34" i="3"/>
  <c r="M34" i="3"/>
  <c r="L34" i="3"/>
  <c r="K34" i="3"/>
  <c r="J34" i="3"/>
  <c r="I34" i="3"/>
  <c r="H34" i="3"/>
  <c r="G34" i="3"/>
  <c r="F34" i="3"/>
  <c r="O32" i="3"/>
  <c r="O28" i="3" s="1"/>
  <c r="N32" i="3"/>
  <c r="S31" i="3"/>
  <c r="S30" i="3"/>
  <c r="S29" i="3"/>
  <c r="Q28" i="3"/>
  <c r="P28" i="3"/>
  <c r="N28" i="3"/>
  <c r="M28" i="3"/>
  <c r="L28" i="3"/>
  <c r="K28" i="3"/>
  <c r="J28" i="3"/>
  <c r="I28" i="3"/>
  <c r="H28" i="3"/>
  <c r="G28" i="3"/>
  <c r="F28" i="3"/>
  <c r="S26" i="3"/>
  <c r="S25" i="3"/>
  <c r="S24" i="3"/>
  <c r="Q23" i="3"/>
  <c r="P23" i="3"/>
  <c r="O23" i="3"/>
  <c r="N23" i="3"/>
  <c r="M23" i="3"/>
  <c r="L23" i="3"/>
  <c r="K23" i="3"/>
  <c r="J23" i="3"/>
  <c r="I23" i="3"/>
  <c r="H23" i="3"/>
  <c r="G23" i="3"/>
  <c r="F23" i="3"/>
  <c r="S21" i="3"/>
  <c r="S20" i="3"/>
  <c r="S19" i="3"/>
  <c r="S18" i="3"/>
  <c r="S17" i="3"/>
  <c r="S16" i="3"/>
  <c r="S15" i="3"/>
  <c r="Q14" i="3"/>
  <c r="P14" i="3"/>
  <c r="O14" i="3"/>
  <c r="N14" i="3"/>
  <c r="M14" i="3"/>
  <c r="L14" i="3"/>
  <c r="L72" i="3" s="1"/>
  <c r="L112" i="3" s="1"/>
  <c r="K14" i="3"/>
  <c r="J14" i="3"/>
  <c r="I14" i="3"/>
  <c r="H14" i="3"/>
  <c r="H72" i="3" s="1"/>
  <c r="H112" i="3" s="1"/>
  <c r="G14" i="3"/>
  <c r="F14" i="3"/>
  <c r="Q11" i="3"/>
  <c r="Q6" i="3" s="1"/>
  <c r="P11" i="3"/>
  <c r="S11" i="3" s="1"/>
  <c r="O11" i="3"/>
  <c r="Q10" i="3"/>
  <c r="P10" i="3"/>
  <c r="O10" i="3"/>
  <c r="O6" i="3" s="1"/>
  <c r="N10" i="3"/>
  <c r="M10" i="3"/>
  <c r="L10" i="3"/>
  <c r="L6" i="3" s="1"/>
  <c r="K10" i="3"/>
  <c r="J10" i="3"/>
  <c r="I10" i="3"/>
  <c r="H10" i="3"/>
  <c r="H6" i="3" s="1"/>
  <c r="G10" i="3"/>
  <c r="G6" i="3" s="1"/>
  <c r="F10" i="3"/>
  <c r="Q9" i="3"/>
  <c r="P9" i="3"/>
  <c r="N9" i="3"/>
  <c r="M9" i="3"/>
  <c r="Q8" i="3"/>
  <c r="O8" i="3"/>
  <c r="N8" i="3"/>
  <c r="N6" i="3" s="1"/>
  <c r="M8" i="3"/>
  <c r="L8" i="3"/>
  <c r="K8" i="3"/>
  <c r="I8" i="3"/>
  <c r="I6" i="3" s="1"/>
  <c r="F8" i="3"/>
  <c r="P7" i="3"/>
  <c r="O7" i="3"/>
  <c r="K7" i="3"/>
  <c r="K6" i="3" s="1"/>
  <c r="J7" i="3"/>
  <c r="H7" i="3"/>
  <c r="G7" i="3"/>
  <c r="F7" i="3"/>
  <c r="S7" i="3" s="1"/>
  <c r="M6" i="3"/>
  <c r="J6" i="3"/>
  <c r="D4" i="3"/>
  <c r="F4" i="3" s="1"/>
  <c r="F6" i="3" l="1"/>
  <c r="K119" i="3"/>
  <c r="P6" i="3"/>
  <c r="H114" i="3"/>
  <c r="L114" i="3"/>
  <c r="P37" i="3"/>
  <c r="P72" i="3" s="1"/>
  <c r="P112" i="3" s="1"/>
  <c r="I72" i="3"/>
  <c r="M72" i="3"/>
  <c r="Q72" i="3"/>
  <c r="A25" i="3"/>
  <c r="S34" i="3"/>
  <c r="S57" i="3"/>
  <c r="S65" i="3"/>
  <c r="S84" i="3"/>
  <c r="S91" i="3"/>
  <c r="S99" i="3"/>
  <c r="S167" i="3"/>
  <c r="S169" i="3" s="1"/>
  <c r="V169" i="3" s="1"/>
  <c r="S14" i="3"/>
  <c r="J72" i="3"/>
  <c r="J112" i="3" s="1"/>
  <c r="J114" i="3" s="1"/>
  <c r="N72" i="3"/>
  <c r="N112" i="3" s="1"/>
  <c r="N114" i="3" s="1"/>
  <c r="S60" i="3"/>
  <c r="N119" i="3"/>
  <c r="S6" i="3"/>
  <c r="S28" i="3"/>
  <c r="S8" i="3"/>
  <c r="S9" i="3"/>
  <c r="S10" i="3"/>
  <c r="G72" i="3"/>
  <c r="G112" i="3" s="1"/>
  <c r="G114" i="3" s="1"/>
  <c r="K72" i="3"/>
  <c r="K112" i="3" s="1"/>
  <c r="K114" i="3" s="1"/>
  <c r="S32" i="3"/>
  <c r="O37" i="3"/>
  <c r="S37" i="3" s="1"/>
  <c r="O49" i="3"/>
  <c r="S49" i="3" s="1"/>
  <c r="S69" i="3"/>
  <c r="I102" i="3"/>
  <c r="M102" i="3"/>
  <c r="Q102" i="3"/>
  <c r="G4" i="3"/>
  <c r="H4" i="3" s="1"/>
  <c r="I4" i="3" s="1"/>
  <c r="S110" i="3"/>
  <c r="F72" i="3"/>
  <c r="F102" i="3"/>
  <c r="S102" i="3" s="1"/>
  <c r="S23" i="3"/>
  <c r="S105" i="3"/>
  <c r="P114" i="3" l="1"/>
  <c r="O72" i="3"/>
  <c r="O112" i="3" s="1"/>
  <c r="O114" i="3" s="1"/>
  <c r="S119" i="3"/>
  <c r="M112" i="3"/>
  <c r="M114" i="3" s="1"/>
  <c r="I112" i="3"/>
  <c r="I114" i="3" s="1"/>
  <c r="Q112" i="3"/>
  <c r="Q114" i="3" s="1"/>
  <c r="F112" i="3"/>
  <c r="S72" i="3"/>
  <c r="S4" i="3"/>
  <c r="S112" i="3" l="1"/>
  <c r="F114" i="3"/>
  <c r="U112" i="3" l="1"/>
  <c r="S114" i="3"/>
  <c r="U119" i="3" s="1"/>
</calcChain>
</file>

<file path=xl/sharedStrings.xml><?xml version="1.0" encoding="utf-8"?>
<sst xmlns="http://schemas.openxmlformats.org/spreadsheetml/2006/main" count="180" uniqueCount="151">
  <si>
    <t>INGRESOS</t>
  </si>
  <si>
    <t>GASTOS OPERATIVOS</t>
  </si>
  <si>
    <t>GASTOS FINANCIEROS</t>
  </si>
  <si>
    <t>ASOCIACIÓN DE PROPIETARIOS DE LA URBANIZACIÓN PORTAL AL SOL</t>
  </si>
  <si>
    <t>ESTADO DE RESULTADOS INTEGRALES</t>
  </si>
  <si>
    <t>CTA CBLE</t>
  </si>
  <si>
    <t>Ene-19</t>
  </si>
  <si>
    <t>Feb-19</t>
  </si>
  <si>
    <t>Mar-19</t>
  </si>
  <si>
    <t>Abr-19</t>
  </si>
  <si>
    <t>May-19</t>
  </si>
  <si>
    <t>Jun-19</t>
  </si>
  <si>
    <t>Jul-19</t>
  </si>
  <si>
    <t>Ago-19</t>
  </si>
  <si>
    <t>Sep-19</t>
  </si>
  <si>
    <t>Oct-19</t>
  </si>
  <si>
    <t>TOTAL</t>
  </si>
  <si>
    <t>Alícuota Mantenimiento</t>
  </si>
  <si>
    <t>Alquiler Canchas</t>
  </si>
  <si>
    <t>421/422/423</t>
  </si>
  <si>
    <t>Alquiler Club Social</t>
  </si>
  <si>
    <t>424/425</t>
  </si>
  <si>
    <t>Otros</t>
  </si>
  <si>
    <t>426/428/43</t>
  </si>
  <si>
    <t>TAG - Tarjetas de acceso</t>
  </si>
  <si>
    <t>Sueldos y Salarios</t>
  </si>
  <si>
    <t>Sueldos</t>
  </si>
  <si>
    <t>Beneficios Sociales</t>
  </si>
  <si>
    <t>Aporte Patronal</t>
  </si>
  <si>
    <t xml:space="preserve">Vacaciones </t>
  </si>
  <si>
    <t>Indeminizaciones finiquitos</t>
  </si>
  <si>
    <t>Bonificacion empleados</t>
  </si>
  <si>
    <t>Uniformes</t>
  </si>
  <si>
    <t>Servicios Especializados</t>
  </si>
  <si>
    <t>Servico de Mantenimiento Areas Verdes y Limpieza</t>
  </si>
  <si>
    <t>Servicio de Guardianía</t>
  </si>
  <si>
    <t>Servicio de GHOU</t>
  </si>
  <si>
    <t>Servicios Básicos</t>
  </si>
  <si>
    <t>Agua Potable</t>
  </si>
  <si>
    <t>Energía Eléctrica</t>
  </si>
  <si>
    <t>Teléfono Convencional</t>
  </si>
  <si>
    <t>Teléfono Celular</t>
  </si>
  <si>
    <t>Servicios de Comunicación</t>
  </si>
  <si>
    <t>Internet</t>
  </si>
  <si>
    <t>Manteminiento y Reparación</t>
  </si>
  <si>
    <t>M&amp;R General</t>
  </si>
  <si>
    <t>M&amp;R Area social</t>
  </si>
  <si>
    <t>M&amp;R Instalaciones y Edificios</t>
  </si>
  <si>
    <t>M&amp;R Areas Verdes</t>
  </si>
  <si>
    <t>6107/6215</t>
  </si>
  <si>
    <t>M&amp;R Señalización y Dispositivos Viales</t>
  </si>
  <si>
    <t>M&amp;R SISTEMA ELECTRICO</t>
  </si>
  <si>
    <t>M&amp;R Cerco Eléctrico-Camaras</t>
  </si>
  <si>
    <t>M&amp;R Maquinarias y Equipos ELECTRONICOS</t>
  </si>
  <si>
    <t xml:space="preserve">M&amp;R canchas </t>
  </si>
  <si>
    <t>M&amp;R Sistemas de Acceso y Barreras</t>
  </si>
  <si>
    <t>Suministros y Materiales</t>
  </si>
  <si>
    <t>Materiales de Limpieza</t>
  </si>
  <si>
    <t>6104/6227</t>
  </si>
  <si>
    <t>Materiales Eléctricos</t>
  </si>
  <si>
    <t>Materiales de Construcción</t>
  </si>
  <si>
    <t>Materiales de Jardinería</t>
  </si>
  <si>
    <t>Materiales de Pintura</t>
  </si>
  <si>
    <t>Combustibles y Lubricantes</t>
  </si>
  <si>
    <t>Gastos de Movilización</t>
  </si>
  <si>
    <t>Transporte</t>
  </si>
  <si>
    <t>Otros Gastos</t>
  </si>
  <si>
    <t>Agasajos</t>
  </si>
  <si>
    <t>Eventos /Agasajos</t>
  </si>
  <si>
    <t>6233/6232</t>
  </si>
  <si>
    <t>Impuestos, Tasas y Contribuciones</t>
  </si>
  <si>
    <t>Gasto Impuesto al Valor Agregado</t>
  </si>
  <si>
    <t>Permiso, impuestos y contribuciones</t>
  </si>
  <si>
    <t xml:space="preserve">  </t>
  </si>
  <si>
    <t>Depreciación de Activos</t>
  </si>
  <si>
    <t>Depreciación</t>
  </si>
  <si>
    <t>TOTAL GASTOS OPERATIVOS</t>
  </si>
  <si>
    <t>GASTOS ADMINISTRATIVOS</t>
  </si>
  <si>
    <t>Sueldos/Horas extras</t>
  </si>
  <si>
    <t>6201/6210</t>
  </si>
  <si>
    <t>Beneficios Sociales/Decimo tercer y cuarto sueldo</t>
  </si>
  <si>
    <t>6204/6205</t>
  </si>
  <si>
    <t xml:space="preserve">Vacaciones/Provisión </t>
  </si>
  <si>
    <t>Servicio de Contabilidad</t>
  </si>
  <si>
    <t>Servicios Prestados</t>
  </si>
  <si>
    <t>Honorarios Profesionales</t>
  </si>
  <si>
    <t>Capacitaciones</t>
  </si>
  <si>
    <t>Gastos de Gestión</t>
  </si>
  <si>
    <t>Gestión</t>
  </si>
  <si>
    <t>Trámites</t>
  </si>
  <si>
    <t>Suministros de Oficina</t>
  </si>
  <si>
    <t>Alquiler de Equipos</t>
  </si>
  <si>
    <t>Datafast</t>
  </si>
  <si>
    <t>TOTAL GASTOS ADMINISTRATIVOS</t>
  </si>
  <si>
    <t>Gastos Bancarios</t>
  </si>
  <si>
    <t>Comisiones Cartera</t>
  </si>
  <si>
    <t>Comisiones Bancarias(tarjetas)</t>
  </si>
  <si>
    <t>TOTAL GASTOS FINANCIEROS</t>
  </si>
  <si>
    <t>Provision pago deuda interagua</t>
  </si>
  <si>
    <t>TOTAL GASTOS</t>
  </si>
  <si>
    <t>UTILIDAD/PERDIDA</t>
  </si>
  <si>
    <t>INVERSIONES PROPIEDAD, PLANTA Y EQUIPO</t>
  </si>
  <si>
    <t>CONSTRUCCIONES EN PROCESO</t>
  </si>
  <si>
    <t>CANCHA DE USOS MULTIPLES</t>
  </si>
  <si>
    <t>BAÑOS PARA AREA SOCIAL</t>
  </si>
  <si>
    <t>AMPLIACION JUEGOS PARQUE AREA SOCIAL</t>
  </si>
  <si>
    <t>GYPSUM DE AMPLIACION</t>
  </si>
  <si>
    <t>COMPRA DE MATERIALES (PISOS, PUERTAS, CEMENTO) PARA AMPLIACION ADM.</t>
  </si>
  <si>
    <t>COMPRA MATERIALES DE ILUMINACION ENTRADA (LED)</t>
  </si>
  <si>
    <t>COMPRA DIF. PORCELANATO PARA AMPLIACION DE BAÑOS</t>
  </si>
  <si>
    <t>COMPRA DE PINTURA PARA ARREGLOS ENTRADA Y ADM.</t>
  </si>
  <si>
    <t xml:space="preserve">REMODELACION DE CANCHA DE TENIS </t>
  </si>
  <si>
    <t>CESPED SINTETICO</t>
  </si>
  <si>
    <t>COMPRA MATERIALES PARA ARREGLO ENTRADA</t>
  </si>
  <si>
    <t>MUEBLES Y ENSERES</t>
  </si>
  <si>
    <t>CANCHA DE NIÑOS</t>
  </si>
  <si>
    <t>CONSTRUCCION DE CAMINERA INGRESO PRINCIPAL</t>
  </si>
  <si>
    <t>SEÑALETICA VERTICAL</t>
  </si>
  <si>
    <t>PILETA</t>
  </si>
  <si>
    <t>EQUIPOS DE COMPUTACION - ELECTRÓNICOS</t>
  </si>
  <si>
    <t>6 CAMARAS / ROLLOS DE CABLE UTP</t>
  </si>
  <si>
    <t>PC SERVER ADM</t>
  </si>
  <si>
    <t>IMPLEMENTACION DE RED LOCAL</t>
  </si>
  <si>
    <t>HARDWARE ACCESO GARITAS</t>
  </si>
  <si>
    <t>CELULAR</t>
  </si>
  <si>
    <t>BIOMETRICO GARITA I</t>
  </si>
  <si>
    <t xml:space="preserve">PROTECTOR DE VOLTAJE UPS </t>
  </si>
  <si>
    <t>COMPRA DE ROUTER MICROTIK</t>
  </si>
  <si>
    <t>COMPRA DE 4 AIRES ACONDICIONADO E INSTALACION PARA AREA SOCIAL</t>
  </si>
  <si>
    <t>PROYECTO DE CAMARAS POR FASES EN ETAPA 2</t>
  </si>
  <si>
    <t>EQUIPOS DE SEGURIDAD</t>
  </si>
  <si>
    <t>2 JUEGOS DE BARRERAS DE ACCESO ROGER / LUCES / REFLEX / BRAZOS</t>
  </si>
  <si>
    <t>IMPLEMENTACION RED DE CAMARAS</t>
  </si>
  <si>
    <t>CAMBIO EQUIPOS DVDR Y 6 CAMARAS</t>
  </si>
  <si>
    <t>EXTINTORES PARA GARITA1 y 2/AREA SOCIAL/OFICINA DE ADM.</t>
  </si>
  <si>
    <t>INSTALACIONES Y REPARACION</t>
  </si>
  <si>
    <t>PROVISIONES DE INVERSIONES</t>
  </si>
  <si>
    <t>PROVISION CESPED SINTÉTICO CANCHA DE FUTBOL</t>
  </si>
  <si>
    <t>OBRA CIVIL CANCHA DE FUTBOL, CONSTRUCCION CANALES, DRENAJES / RELLENO / COMPACTACION Y NIVELACIÓN</t>
  </si>
  <si>
    <t>PROVISION TECHADO GYPSUM ADM. Y BAÑOS AREA SOCIAL</t>
  </si>
  <si>
    <t>PROVISION CONSTRUCCION DE BODEGA ADM. - AMPLIACION / INSTALACIONES / PINTADA / PUERTAS</t>
  </si>
  <si>
    <t>PROVISION ARREGLOS DE ILUMINACION ENTRADA / BASES / PUNTOS DE LUZ</t>
  </si>
  <si>
    <t>PROVISION DEUDA SEGURIDAD ETAPA 2 ENERO A JULIO/2017</t>
  </si>
  <si>
    <t>PROVISION PAGO DEUDA INTERAGUA</t>
  </si>
  <si>
    <t>PROVISION INSTALACION SISTEMA DE CAMARAS</t>
  </si>
  <si>
    <t>BINGO</t>
  </si>
  <si>
    <t>Oct.-19</t>
  </si>
  <si>
    <t>EGRESOS</t>
  </si>
  <si>
    <t>TOTAL DIFERENCIA</t>
  </si>
  <si>
    <t>PLANTA DE TRATAMIENTO</t>
  </si>
  <si>
    <t>EGRESOS -CNEL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</si>
</sst>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$&quot;* #,##0.00_ ;_ &quot;$&quot;* \-#,##0.00_ ;_ &quot;$&quot;* &quot;-&quot;??_ ;_ @_ "/>
    <numFmt numFmtId="165" formatCode="_ * #,##0.00_ ;_ * \-#,##0.00_ ;_ * &quot;-&quot;??_ ;_ @_ "/>
    <numFmt numFmtId="166" formatCode="_-* #,##0.00\ _€_-;\-* #,##0.00\ _€_-;_-* &quot;-&quot;??\ _€_-;_-@_-"/>
    <numFmt numFmtId="167" formatCode="[$-C0A]mmm\-yy;@"/>
  </numFmts>
  <fonts count="27">
    <font>
      <sz val="10"/>
      <name val="Arial CE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8"/>
      <color theme="1"/>
      <name val="Arial Narrow"/>
      <family val="2"/>
    </font>
    <font>
      <u/>
      <sz val="8"/>
      <color theme="10"/>
      <name val="Arial Narrow"/>
      <family val="2"/>
    </font>
    <font>
      <b/>
      <sz val="9"/>
      <color theme="1"/>
      <name val="Arial Narrow"/>
      <family val="2"/>
    </font>
    <font>
      <b/>
      <i/>
      <sz val="8"/>
      <color theme="1"/>
      <name val="Arial Narrow"/>
      <family val="2"/>
    </font>
    <font>
      <sz val="8"/>
      <color rgb="FFFF0000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23">
    <xf numFmtId="0" fontId="0" fillId="0" borderId="0" xfId="0"/>
    <xf numFmtId="0" fontId="18" fillId="0" borderId="0" xfId="42"/>
    <xf numFmtId="0" fontId="18" fillId="0" borderId="0" xfId="42" applyAlignment="1">
      <alignment horizontal="right"/>
    </xf>
    <xf numFmtId="0" fontId="21" fillId="0" borderId="10" xfId="42" quotePrefix="1" applyFont="1" applyBorder="1" applyAlignment="1">
      <alignment horizontal="center"/>
    </xf>
    <xf numFmtId="167" fontId="21" fillId="0" borderId="10" xfId="42" quotePrefix="1" applyNumberFormat="1" applyFont="1" applyBorder="1" applyAlignment="1">
      <alignment horizontal="center"/>
    </xf>
    <xf numFmtId="165" fontId="21" fillId="0" borderId="25" xfId="43" quotePrefix="1" applyFont="1" applyBorder="1" applyAlignment="1">
      <alignment horizontal="center"/>
    </xf>
    <xf numFmtId="0" fontId="21" fillId="0" borderId="0" xfId="42" applyFont="1"/>
    <xf numFmtId="165" fontId="21" fillId="0" borderId="0" xfId="42" quotePrefix="1" applyNumberFormat="1" applyFont="1" applyBorder="1" applyAlignment="1">
      <alignment horizontal="center"/>
    </xf>
    <xf numFmtId="165" fontId="18" fillId="0" borderId="0" xfId="42" applyNumberFormat="1"/>
    <xf numFmtId="165" fontId="21" fillId="0" borderId="0" xfId="43" quotePrefix="1" applyFont="1" applyBorder="1" applyAlignment="1">
      <alignment horizontal="center"/>
    </xf>
    <xf numFmtId="0" fontId="21" fillId="0" borderId="0" xfId="42" quotePrefix="1" applyFont="1" applyBorder="1" applyAlignment="1">
      <alignment horizontal="center"/>
    </xf>
    <xf numFmtId="164" fontId="0" fillId="0" borderId="0" xfId="44" applyFont="1"/>
    <xf numFmtId="0" fontId="22" fillId="0" borderId="20" xfId="42" applyFont="1" applyBorder="1"/>
    <xf numFmtId="0" fontId="18" fillId="0" borderId="0" xfId="42" applyNumberFormat="1"/>
    <xf numFmtId="165" fontId="21" fillId="0" borderId="11" xfId="43" quotePrefix="1" applyFont="1" applyBorder="1" applyAlignment="1">
      <alignment horizontal="center"/>
    </xf>
    <xf numFmtId="165" fontId="21" fillId="0" borderId="12" xfId="43" quotePrefix="1" applyFont="1" applyBorder="1" applyAlignment="1">
      <alignment horizontal="center"/>
    </xf>
    <xf numFmtId="165" fontId="21" fillId="33" borderId="20" xfId="42" quotePrefix="1" applyNumberFormat="1" applyFont="1" applyFill="1" applyBorder="1" applyAlignment="1">
      <alignment horizontal="center"/>
    </xf>
    <xf numFmtId="0" fontId="18" fillId="0" borderId="22" xfId="42" applyBorder="1"/>
    <xf numFmtId="165" fontId="0" fillId="0" borderId="23" xfId="43" quotePrefix="1" applyFont="1" applyBorder="1" applyAlignment="1">
      <alignment horizontal="center"/>
    </xf>
    <xf numFmtId="165" fontId="0" fillId="0" borderId="0" xfId="43" quotePrefix="1" applyFont="1" applyBorder="1" applyAlignment="1">
      <alignment horizontal="center"/>
    </xf>
    <xf numFmtId="165" fontId="0" fillId="0" borderId="0" xfId="43" applyFont="1" applyBorder="1" applyAlignment="1">
      <alignment horizontal="center"/>
    </xf>
    <xf numFmtId="165" fontId="0" fillId="0" borderId="0" xfId="43" applyFont="1" applyBorder="1"/>
    <xf numFmtId="165" fontId="0" fillId="0" borderId="24" xfId="43" applyFont="1" applyBorder="1"/>
    <xf numFmtId="165" fontId="18" fillId="0" borderId="20" xfId="42" quotePrefix="1" applyNumberFormat="1" applyFont="1" applyBorder="1" applyAlignment="1">
      <alignment horizontal="center"/>
    </xf>
    <xf numFmtId="0" fontId="18" fillId="0" borderId="0" xfId="42" applyNumberFormat="1" applyAlignment="1">
      <alignment horizontal="right"/>
    </xf>
    <xf numFmtId="165" fontId="18" fillId="0" borderId="22" xfId="42" quotePrefix="1" applyNumberFormat="1" applyFont="1" applyBorder="1" applyAlignment="1">
      <alignment horizontal="center"/>
    </xf>
    <xf numFmtId="0" fontId="18" fillId="0" borderId="21" xfId="42" applyBorder="1"/>
    <xf numFmtId="165" fontId="0" fillId="0" borderId="18" xfId="43" quotePrefix="1" applyFont="1" applyBorder="1" applyAlignment="1">
      <alignment horizontal="center"/>
    </xf>
    <xf numFmtId="165" fontId="0" fillId="0" borderId="15" xfId="43" quotePrefix="1" applyFont="1" applyBorder="1" applyAlignment="1">
      <alignment horizontal="center"/>
    </xf>
    <xf numFmtId="165" fontId="0" fillId="0" borderId="15" xfId="43" applyFont="1" applyBorder="1"/>
    <xf numFmtId="165" fontId="0" fillId="0" borderId="16" xfId="43" applyFont="1" applyBorder="1"/>
    <xf numFmtId="165" fontId="18" fillId="0" borderId="21" xfId="42" quotePrefix="1" applyNumberFormat="1" applyFont="1" applyBorder="1" applyAlignment="1">
      <alignment horizontal="center"/>
    </xf>
    <xf numFmtId="0" fontId="18" fillId="0" borderId="0" xfId="42" applyBorder="1"/>
    <xf numFmtId="0" fontId="22" fillId="0" borderId="0" xfId="42" applyFont="1"/>
    <xf numFmtId="165" fontId="21" fillId="0" borderId="17" xfId="43" quotePrefix="1" applyFont="1" applyBorder="1" applyAlignment="1">
      <alignment horizontal="center"/>
    </xf>
    <xf numFmtId="165" fontId="21" fillId="0" borderId="13" xfId="43" quotePrefix="1" applyFont="1" applyBorder="1" applyAlignment="1">
      <alignment horizontal="center"/>
    </xf>
    <xf numFmtId="165" fontId="21" fillId="0" borderId="14" xfId="43" quotePrefix="1" applyFont="1" applyBorder="1" applyAlignment="1">
      <alignment horizontal="center"/>
    </xf>
    <xf numFmtId="165" fontId="21" fillId="0" borderId="10" xfId="42" quotePrefix="1" applyNumberFormat="1" applyFont="1" applyBorder="1" applyAlignment="1">
      <alignment horizontal="center"/>
    </xf>
    <xf numFmtId="165" fontId="0" fillId="0" borderId="17" xfId="43" applyFont="1" applyBorder="1"/>
    <xf numFmtId="165" fontId="0" fillId="0" borderId="13" xfId="43" applyFont="1" applyBorder="1"/>
    <xf numFmtId="165" fontId="0" fillId="0" borderId="14" xfId="43" applyFont="1" applyBorder="1"/>
    <xf numFmtId="165" fontId="21" fillId="0" borderId="22" xfId="42" quotePrefix="1" applyNumberFormat="1" applyFont="1" applyBorder="1" applyAlignment="1">
      <alignment horizontal="center"/>
    </xf>
    <xf numFmtId="165" fontId="0" fillId="0" borderId="23" xfId="43" applyFont="1" applyBorder="1"/>
    <xf numFmtId="0" fontId="23" fillId="0" borderId="0" xfId="45"/>
    <xf numFmtId="0" fontId="18" fillId="0" borderId="21" xfId="42" applyFont="1" applyBorder="1"/>
    <xf numFmtId="165" fontId="0" fillId="0" borderId="18" xfId="43" applyFont="1" applyBorder="1"/>
    <xf numFmtId="165" fontId="21" fillId="0" borderId="21" xfId="42" quotePrefix="1" applyNumberFormat="1" applyFont="1" applyBorder="1" applyAlignment="1">
      <alignment horizontal="center"/>
    </xf>
    <xf numFmtId="165" fontId="0" fillId="0" borderId="0" xfId="43" applyFont="1"/>
    <xf numFmtId="165" fontId="21" fillId="0" borderId="11" xfId="43" applyFont="1" applyBorder="1"/>
    <xf numFmtId="165" fontId="21" fillId="0" borderId="12" xfId="43" applyFont="1" applyBorder="1"/>
    <xf numFmtId="165" fontId="21" fillId="0" borderId="26" xfId="43" applyFont="1" applyBorder="1"/>
    <xf numFmtId="165" fontId="21" fillId="0" borderId="20" xfId="42" quotePrefix="1" applyNumberFormat="1" applyFont="1" applyBorder="1" applyAlignment="1">
      <alignment horizontal="center"/>
    </xf>
    <xf numFmtId="0" fontId="18" fillId="0" borderId="20" xfId="42" applyFont="1" applyBorder="1"/>
    <xf numFmtId="165" fontId="18" fillId="0" borderId="23" xfId="43" applyFont="1" applyBorder="1"/>
    <xf numFmtId="165" fontId="18" fillId="0" borderId="0" xfId="43" applyFont="1" applyBorder="1"/>
    <xf numFmtId="165" fontId="18" fillId="0" borderId="24" xfId="43" applyFont="1" applyBorder="1"/>
    <xf numFmtId="166" fontId="18" fillId="0" borderId="0" xfId="42" applyNumberFormat="1"/>
    <xf numFmtId="0" fontId="18" fillId="0" borderId="22" xfId="42" applyFont="1" applyBorder="1"/>
    <xf numFmtId="165" fontId="18" fillId="0" borderId="18" xfId="43" applyFont="1" applyBorder="1"/>
    <xf numFmtId="165" fontId="18" fillId="0" borderId="15" xfId="43" applyFont="1" applyBorder="1"/>
    <xf numFmtId="165" fontId="18" fillId="0" borderId="16" xfId="43" applyFont="1" applyBorder="1"/>
    <xf numFmtId="165" fontId="18" fillId="0" borderId="21" xfId="43" applyFont="1" applyBorder="1"/>
    <xf numFmtId="165" fontId="21" fillId="0" borderId="26" xfId="43" applyFont="1" applyFill="1" applyBorder="1"/>
    <xf numFmtId="165" fontId="21" fillId="0" borderId="0" xfId="43" applyFont="1" applyBorder="1"/>
    <xf numFmtId="165" fontId="21" fillId="0" borderId="24" xfId="43" applyFont="1" applyBorder="1"/>
    <xf numFmtId="165" fontId="0" fillId="0" borderId="24" xfId="43" applyFont="1" applyFill="1" applyBorder="1"/>
    <xf numFmtId="165" fontId="0" fillId="0" borderId="16" xfId="43" applyFont="1" applyFill="1" applyBorder="1"/>
    <xf numFmtId="165" fontId="0" fillId="0" borderId="0" xfId="43" applyFont="1" applyFill="1" applyBorder="1"/>
    <xf numFmtId="165" fontId="0" fillId="34" borderId="23" xfId="43" applyFont="1" applyFill="1" applyBorder="1"/>
    <xf numFmtId="165" fontId="0" fillId="34" borderId="0" xfId="43" applyFont="1" applyFill="1" applyBorder="1"/>
    <xf numFmtId="165" fontId="0" fillId="34" borderId="18" xfId="43" applyFont="1" applyFill="1" applyBorder="1"/>
    <xf numFmtId="165" fontId="0" fillId="34" borderId="15" xfId="43" applyFont="1" applyFill="1" applyBorder="1"/>
    <xf numFmtId="165" fontId="18" fillId="0" borderId="0" xfId="42" quotePrefix="1" applyNumberFormat="1" applyFont="1" applyBorder="1" applyAlignment="1">
      <alignment horizontal="center"/>
    </xf>
    <xf numFmtId="0" fontId="18" fillId="0" borderId="0" xfId="42" applyFill="1" applyBorder="1"/>
    <xf numFmtId="0" fontId="18" fillId="0" borderId="20" xfId="42" applyBorder="1"/>
    <xf numFmtId="165" fontId="21" fillId="35" borderId="25" xfId="42" applyNumberFormat="1" applyFont="1" applyFill="1" applyBorder="1"/>
    <xf numFmtId="165" fontId="21" fillId="0" borderId="26" xfId="43" quotePrefix="1" applyFont="1" applyBorder="1" applyAlignment="1">
      <alignment horizontal="center"/>
    </xf>
    <xf numFmtId="165" fontId="21" fillId="34" borderId="10" xfId="42" quotePrefix="1" applyNumberFormat="1" applyFont="1" applyFill="1" applyBorder="1" applyAlignment="1">
      <alignment horizontal="center"/>
    </xf>
    <xf numFmtId="165" fontId="18" fillId="34" borderId="22" xfId="42" quotePrefix="1" applyNumberFormat="1" applyFont="1" applyFill="1" applyBorder="1" applyAlignment="1">
      <alignment horizontal="center"/>
    </xf>
    <xf numFmtId="165" fontId="18" fillId="34" borderId="21" xfId="42" quotePrefix="1" applyNumberFormat="1" applyFont="1" applyFill="1" applyBorder="1" applyAlignment="1">
      <alignment horizontal="center"/>
    </xf>
    <xf numFmtId="165" fontId="21" fillId="0" borderId="23" xfId="43" applyFont="1" applyBorder="1"/>
    <xf numFmtId="0" fontId="18" fillId="0" borderId="21" xfId="42" applyFill="1" applyBorder="1"/>
    <xf numFmtId="165" fontId="21" fillId="0" borderId="19" xfId="43" applyFont="1" applyBorder="1"/>
    <xf numFmtId="165" fontId="21" fillId="0" borderId="27" xfId="43" applyFont="1" applyBorder="1"/>
    <xf numFmtId="165" fontId="21" fillId="0" borderId="28" xfId="43" applyFont="1" applyBorder="1"/>
    <xf numFmtId="165" fontId="21" fillId="0" borderId="29" xfId="42" quotePrefix="1" applyNumberFormat="1" applyFont="1" applyBorder="1" applyAlignment="1">
      <alignment horizontal="center"/>
    </xf>
    <xf numFmtId="165" fontId="21" fillId="34" borderId="11" xfId="43" applyFont="1" applyFill="1" applyBorder="1"/>
    <xf numFmtId="165" fontId="21" fillId="34" borderId="12" xfId="43" applyFont="1" applyFill="1" applyBorder="1"/>
    <xf numFmtId="165" fontId="21" fillId="34" borderId="26" xfId="43" applyFont="1" applyFill="1" applyBorder="1"/>
    <xf numFmtId="165" fontId="21" fillId="35" borderId="25" xfId="43" applyFont="1" applyFill="1" applyBorder="1"/>
    <xf numFmtId="0" fontId="18" fillId="0" borderId="24" xfId="42" applyFill="1" applyBorder="1"/>
    <xf numFmtId="165" fontId="24" fillId="0" borderId="0" xfId="43" applyFont="1" applyFill="1" applyBorder="1"/>
    <xf numFmtId="0" fontId="24" fillId="0" borderId="0" xfId="42" applyFont="1"/>
    <xf numFmtId="165" fontId="24" fillId="36" borderId="27" xfId="43" applyFont="1" applyFill="1" applyBorder="1"/>
    <xf numFmtId="165" fontId="0" fillId="0" borderId="0" xfId="43" applyFont="1" applyFill="1"/>
    <xf numFmtId="165" fontId="21" fillId="0" borderId="17" xfId="43" applyFont="1" applyBorder="1"/>
    <xf numFmtId="165" fontId="21" fillId="0" borderId="13" xfId="43" applyFont="1" applyBorder="1"/>
    <xf numFmtId="165" fontId="21" fillId="0" borderId="14" xfId="43" applyFont="1" applyBorder="1"/>
    <xf numFmtId="165" fontId="21" fillId="0" borderId="20" xfId="43" applyFont="1" applyBorder="1"/>
    <xf numFmtId="0" fontId="21" fillId="0" borderId="22" xfId="42" applyFont="1" applyBorder="1"/>
    <xf numFmtId="165" fontId="0" fillId="34" borderId="22" xfId="43" applyFont="1" applyFill="1" applyBorder="1"/>
    <xf numFmtId="0" fontId="18" fillId="0" borderId="22" xfId="42" applyFont="1" applyBorder="1" applyAlignment="1">
      <alignment vertical="center" wrapText="1"/>
    </xf>
    <xf numFmtId="165" fontId="0" fillId="0" borderId="23" xfId="43" applyFont="1" applyBorder="1" applyAlignment="1">
      <alignment vertical="center" wrapText="1"/>
    </xf>
    <xf numFmtId="165" fontId="0" fillId="0" borderId="0" xfId="43" applyFont="1" applyBorder="1" applyAlignment="1">
      <alignment vertical="center" wrapText="1"/>
    </xf>
    <xf numFmtId="165" fontId="0" fillId="0" borderId="24" xfId="43" applyFont="1" applyBorder="1" applyAlignment="1">
      <alignment vertical="center" wrapText="1"/>
    </xf>
    <xf numFmtId="165" fontId="0" fillId="0" borderId="0" xfId="43" applyFont="1" applyAlignment="1">
      <alignment vertical="center" wrapText="1"/>
    </xf>
    <xf numFmtId="0" fontId="18" fillId="0" borderId="22" xfId="42" applyBorder="1" applyAlignment="1">
      <alignment vertical="center" wrapText="1"/>
    </xf>
    <xf numFmtId="0" fontId="22" fillId="0" borderId="22" xfId="42" applyFont="1" applyBorder="1"/>
    <xf numFmtId="165" fontId="0" fillId="0" borderId="0" xfId="43" applyFont="1" applyBorder="1" applyAlignment="1">
      <alignment vertical="center"/>
    </xf>
    <xf numFmtId="165" fontId="0" fillId="34" borderId="30" xfId="43" applyFont="1" applyFill="1" applyBorder="1"/>
    <xf numFmtId="0" fontId="25" fillId="0" borderId="10" xfId="42" applyFont="1" applyBorder="1"/>
    <xf numFmtId="0" fontId="21" fillId="0" borderId="10" xfId="42" applyFont="1" applyBorder="1"/>
    <xf numFmtId="17" fontId="21" fillId="0" borderId="10" xfId="42" applyNumberFormat="1" applyFont="1" applyBorder="1"/>
    <xf numFmtId="165" fontId="0" fillId="0" borderId="20" xfId="43" applyFont="1" applyBorder="1"/>
    <xf numFmtId="165" fontId="18" fillId="0" borderId="30" xfId="42" quotePrefix="1" applyNumberFormat="1" applyFont="1" applyBorder="1" applyAlignment="1">
      <alignment horizontal="center"/>
    </xf>
    <xf numFmtId="165" fontId="26" fillId="0" borderId="21" xfId="42" quotePrefix="1" applyNumberFormat="1" applyFont="1" applyBorder="1" applyAlignment="1">
      <alignment horizontal="center"/>
    </xf>
    <xf numFmtId="0" fontId="21" fillId="0" borderId="10" xfId="42" applyFont="1" applyBorder="1" applyAlignment="1">
      <alignment horizontal="center"/>
    </xf>
    <xf numFmtId="165" fontId="0" fillId="0" borderId="0" xfId="43" quotePrefix="1" applyFont="1" applyFill="1" applyBorder="1" applyAlignment="1">
      <alignment horizontal="center"/>
    </xf>
    <xf numFmtId="165" fontId="18" fillId="0" borderId="0" xfId="43" applyFont="1" applyFill="1" applyBorder="1"/>
    <xf numFmtId="0" fontId="18" fillId="34" borderId="0" xfId="42" applyFill="1"/>
    <xf numFmtId="165" fontId="18" fillId="34" borderId="30" xfId="42" quotePrefix="1" applyNumberFormat="1" applyFont="1" applyFill="1" applyBorder="1" applyAlignment="1">
      <alignment horizontal="center"/>
    </xf>
    <xf numFmtId="0" fontId="19" fillId="0" borderId="0" xfId="42" applyFont="1" applyAlignment="1">
      <alignment horizontal="center"/>
    </xf>
    <xf numFmtId="0" fontId="20" fillId="0" borderId="0" xfId="42" applyFont="1" applyAlignment="1">
      <alignment horizont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5" builtinId="8"/>
    <cellStyle name="Incorrecto" xfId="7" builtinId="27" customBuiltin="1"/>
    <cellStyle name="Millares 2" xfId="43" xr:uid="{00000000-0005-0000-0000-000021000000}"/>
    <cellStyle name="Moneda 2" xfId="44" xr:uid="{00000000-0005-0000-0000-000022000000}"/>
    <cellStyle name="Neutral" xfId="8" builtinId="28" customBuiltin="1"/>
    <cellStyle name="Normal" xfId="0" builtinId="0"/>
    <cellStyle name="Normal 2" xfId="42" xr:uid="{00000000-0005-0000-0000-000025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8"/>
  <sheetViews>
    <sheetView tabSelected="1" zoomScaleNormal="100" workbookViewId="0"/>
  </sheetViews>
  <sheetFormatPr baseColWidth="10" defaultColWidth="7.42578125" defaultRowHeight="12.75"/>
  <cols>
    <col min="1" max="1" width="11.28515625" style="1" customWidth="1"/>
    <col min="2" max="2" width="7.42578125" style="1"/>
    <col min="3" max="3" width="28.85546875" style="1" customWidth="1"/>
    <col min="4" max="4" width="4" style="1" customWidth="1"/>
    <col min="5" max="5" width="9.28515625" style="1" customWidth="1"/>
    <col min="6" max="17" width="10.28515625" style="1" bestFit="1" customWidth="1"/>
    <col min="18" max="18" width="7.42578125" style="1"/>
    <col min="19" max="19" width="9.5703125" style="1" bestFit="1" customWidth="1"/>
    <col min="20" max="20" width="7.42578125" style="1"/>
    <col min="21" max="21" width="8.42578125" style="1" bestFit="1" customWidth="1"/>
    <col min="22" max="22" width="8.140625" style="1" bestFit="1" customWidth="1"/>
    <col min="23" max="16384" width="7.42578125" style="1"/>
  </cols>
  <sheetData>
    <row r="1" spans="2:21" ht="18">
      <c r="C1" s="121" t="s">
        <v>3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2:21" ht="16.5" thickBot="1">
      <c r="C2" s="122" t="s">
        <v>4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2:21" ht="13.5" thickBot="1">
      <c r="E3" s="2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4">
        <v>43770</v>
      </c>
      <c r="Q3" s="4">
        <v>43800</v>
      </c>
      <c r="S3" s="3" t="s">
        <v>16</v>
      </c>
    </row>
    <row r="4" spans="2:21" ht="13.5" hidden="1" thickBot="1">
      <c r="D4" s="1">
        <f>524925.1+1982.86+26841.86+4410.63+3355+13713.01</f>
        <v>575228.46</v>
      </c>
      <c r="F4" s="5">
        <f>+D4-D6</f>
        <v>575228.46</v>
      </c>
      <c r="G4" s="5">
        <f>+F4-F6</f>
        <v>509417.26999999996</v>
      </c>
      <c r="H4" s="5">
        <f>+G4-G6</f>
        <v>463119.12999999995</v>
      </c>
      <c r="I4" s="5">
        <f>+H4-H6</f>
        <v>414706.44999999995</v>
      </c>
      <c r="J4" s="5"/>
      <c r="K4" s="5"/>
      <c r="L4" s="5"/>
      <c r="M4" s="5"/>
      <c r="N4" s="5"/>
      <c r="O4" s="6"/>
      <c r="P4" s="6"/>
      <c r="Q4" s="6"/>
      <c r="S4" s="7">
        <f>SUM(F4:Q4)</f>
        <v>1962471.3099999998</v>
      </c>
      <c r="T4" s="8"/>
    </row>
    <row r="5" spans="2:21" ht="13.5" thickBot="1">
      <c r="F5" s="9"/>
      <c r="G5" s="9"/>
      <c r="H5" s="9"/>
      <c r="I5" s="9"/>
      <c r="J5" s="10"/>
      <c r="K5" s="10"/>
      <c r="L5" s="10"/>
      <c r="M5" s="10"/>
      <c r="N5" s="10"/>
      <c r="O5" s="6"/>
      <c r="P5" s="6"/>
      <c r="Q5" s="6"/>
      <c r="S5" s="10"/>
    </row>
    <row r="6" spans="2:21" ht="14.25" thickBot="1">
      <c r="B6" s="11"/>
      <c r="C6" s="12" t="s">
        <v>0</v>
      </c>
      <c r="D6" s="8"/>
      <c r="E6" s="13"/>
      <c r="F6" s="14">
        <f t="shared" ref="F6:Q6" si="0">SUM(F7:F11)</f>
        <v>65811.19</v>
      </c>
      <c r="G6" s="15">
        <f t="shared" si="0"/>
        <v>46298.14</v>
      </c>
      <c r="H6" s="15">
        <f t="shared" si="0"/>
        <v>48412.68</v>
      </c>
      <c r="I6" s="15">
        <f t="shared" si="0"/>
        <v>48110.37</v>
      </c>
      <c r="J6" s="15">
        <f t="shared" si="0"/>
        <v>46890.37999999999</v>
      </c>
      <c r="K6" s="15">
        <f t="shared" si="0"/>
        <v>51211.590000000004</v>
      </c>
      <c r="L6" s="15">
        <f t="shared" si="0"/>
        <v>55491.989999999991</v>
      </c>
      <c r="M6" s="15">
        <f t="shared" si="0"/>
        <v>46095.290000000008</v>
      </c>
      <c r="N6" s="15">
        <f t="shared" si="0"/>
        <v>48068.920000000006</v>
      </c>
      <c r="O6" s="15">
        <f t="shared" si="0"/>
        <v>39910.529999999992</v>
      </c>
      <c r="P6" s="15">
        <f t="shared" si="0"/>
        <v>45258.009999999995</v>
      </c>
      <c r="Q6" s="15">
        <f t="shared" si="0"/>
        <v>48790.090000000004</v>
      </c>
      <c r="R6" s="8"/>
      <c r="S6" s="16">
        <f t="shared" ref="S6:S11" si="1">SUM(F6:Q6)</f>
        <v>590349.17999999993</v>
      </c>
      <c r="T6" s="8"/>
      <c r="U6" s="8"/>
    </row>
    <row r="7" spans="2:21" ht="13.5">
      <c r="B7" s="11"/>
      <c r="C7" s="17" t="s">
        <v>17</v>
      </c>
      <c r="D7" s="8"/>
      <c r="E7" s="13">
        <v>41</v>
      </c>
      <c r="F7" s="18">
        <f>59132.47+3664.1</f>
        <v>62796.57</v>
      </c>
      <c r="G7" s="19">
        <f>40700.41+4128.48</f>
        <v>44828.89</v>
      </c>
      <c r="H7" s="19">
        <f>44649.55+2721.5</f>
        <v>47371.05</v>
      </c>
      <c r="I7" s="19">
        <v>46849.62</v>
      </c>
      <c r="J7" s="20">
        <f>44943.88+398.2</f>
        <v>45342.079999999994</v>
      </c>
      <c r="K7" s="19">
        <f>48517.19+367.61</f>
        <v>48884.800000000003</v>
      </c>
      <c r="L7" s="19">
        <v>53576.57</v>
      </c>
      <c r="M7" s="19">
        <v>43946.98</v>
      </c>
      <c r="N7" s="19">
        <v>46631.68</v>
      </c>
      <c r="O7" s="21">
        <f>32850.92+5659.74</f>
        <v>38510.659999999996</v>
      </c>
      <c r="P7" s="21">
        <f>4099.45+39047.84</f>
        <v>43147.289999999994</v>
      </c>
      <c r="Q7" s="22">
        <v>46990.38</v>
      </c>
      <c r="S7" s="23">
        <f t="shared" si="1"/>
        <v>568876.56999999995</v>
      </c>
      <c r="T7" s="8"/>
    </row>
    <row r="8" spans="2:21" ht="13.5">
      <c r="B8" s="11"/>
      <c r="C8" s="17" t="s">
        <v>18</v>
      </c>
      <c r="D8" s="8"/>
      <c r="E8" s="24" t="s">
        <v>19</v>
      </c>
      <c r="F8" s="18">
        <f>437.46+9</f>
        <v>446.46</v>
      </c>
      <c r="G8" s="19">
        <v>247.89</v>
      </c>
      <c r="H8" s="19">
        <v>238.77</v>
      </c>
      <c r="I8" s="19">
        <f>540.21+6</f>
        <v>546.21</v>
      </c>
      <c r="J8" s="19">
        <v>732.2</v>
      </c>
      <c r="K8" s="19">
        <f>830.43+26.78+5.36+69</f>
        <v>931.56999999999994</v>
      </c>
      <c r="L8" s="19">
        <f>321.48+321.44+2.68</f>
        <v>645.6</v>
      </c>
      <c r="M8" s="19">
        <f>285.76+160.71+56.26</f>
        <v>502.73</v>
      </c>
      <c r="N8" s="19">
        <f>196.46+267.85+29.48</f>
        <v>493.79000000000008</v>
      </c>
      <c r="O8" s="21">
        <f>283.93+141.96</f>
        <v>425.89</v>
      </c>
      <c r="P8" s="21">
        <v>111.61</v>
      </c>
      <c r="Q8" s="22">
        <f>285.76+241.04+67</f>
        <v>593.79999999999995</v>
      </c>
      <c r="S8" s="25">
        <f t="shared" si="1"/>
        <v>5916.5199999999995</v>
      </c>
      <c r="T8" s="8"/>
    </row>
    <row r="9" spans="2:21" ht="13.5">
      <c r="B9" s="11"/>
      <c r="C9" s="17" t="s">
        <v>20</v>
      </c>
      <c r="D9" s="8"/>
      <c r="E9" s="24" t="s">
        <v>21</v>
      </c>
      <c r="F9" s="18">
        <v>804</v>
      </c>
      <c r="G9" s="19">
        <v>320</v>
      </c>
      <c r="H9" s="19">
        <v>60</v>
      </c>
      <c r="I9" s="20">
        <v>200</v>
      </c>
      <c r="J9" s="19">
        <v>107.14</v>
      </c>
      <c r="K9" s="19">
        <v>821.46</v>
      </c>
      <c r="L9" s="19">
        <v>500.02</v>
      </c>
      <c r="M9" s="19">
        <f>982.19+107.14</f>
        <v>1089.3300000000002</v>
      </c>
      <c r="N9" s="19">
        <f>178.58+53.57</f>
        <v>232.15</v>
      </c>
      <c r="O9" s="21">
        <v>375</v>
      </c>
      <c r="P9" s="21">
        <f>89.28+642.86+898.22</f>
        <v>1630.3600000000001</v>
      </c>
      <c r="Q9" s="22">
        <f>357.16+160.71</f>
        <v>517.87</v>
      </c>
      <c r="S9" s="25">
        <f t="shared" si="1"/>
        <v>6657.3300000000008</v>
      </c>
      <c r="T9" s="8"/>
    </row>
    <row r="10" spans="2:21" ht="13.5">
      <c r="B10" s="11"/>
      <c r="C10" s="17" t="s">
        <v>22</v>
      </c>
      <c r="D10" s="8"/>
      <c r="E10" s="24" t="s">
        <v>23</v>
      </c>
      <c r="F10" s="18">
        <f>1059.27+5+48</f>
        <v>1112.27</v>
      </c>
      <c r="G10" s="19">
        <f>374.86+68+38.79</f>
        <v>481.65000000000003</v>
      </c>
      <c r="H10" s="19">
        <f>191.92+33</f>
        <v>224.92</v>
      </c>
      <c r="I10" s="19">
        <f>58.92+152</f>
        <v>210.92000000000002</v>
      </c>
      <c r="J10" s="19">
        <f>144.6+100</f>
        <v>244.6</v>
      </c>
      <c r="K10" s="19">
        <f>61.93+74.97</f>
        <v>136.9</v>
      </c>
      <c r="L10" s="19">
        <f>8.92+99.08+268.88</f>
        <v>376.88</v>
      </c>
      <c r="M10" s="19">
        <f>13.38+63.37+33</f>
        <v>109.75</v>
      </c>
      <c r="N10" s="19">
        <f>30+91.93+35.71</f>
        <v>157.64000000000001</v>
      </c>
      <c r="O10" s="21">
        <f>21.42+128.04+253.1</f>
        <v>402.55999999999995</v>
      </c>
      <c r="P10" s="21">
        <f>1.78+10</f>
        <v>11.78</v>
      </c>
      <c r="Q10" s="22">
        <f>10+124.4</f>
        <v>134.4</v>
      </c>
      <c r="S10" s="25">
        <f t="shared" si="1"/>
        <v>3604.2700000000004</v>
      </c>
      <c r="T10" s="8"/>
    </row>
    <row r="11" spans="2:21" ht="14.25" thickBot="1">
      <c r="B11" s="11"/>
      <c r="C11" s="26" t="s">
        <v>24</v>
      </c>
      <c r="D11" s="8"/>
      <c r="E11" s="13">
        <v>427</v>
      </c>
      <c r="F11" s="27">
        <v>651.89</v>
      </c>
      <c r="G11" s="28">
        <v>419.71</v>
      </c>
      <c r="H11" s="28">
        <v>517.94000000000005</v>
      </c>
      <c r="I11" s="28">
        <v>303.62</v>
      </c>
      <c r="J11" s="28">
        <v>464.36</v>
      </c>
      <c r="K11" s="28">
        <v>436.86</v>
      </c>
      <c r="L11" s="28">
        <v>392.92</v>
      </c>
      <c r="M11" s="28">
        <v>446.5</v>
      </c>
      <c r="N11" s="28">
        <v>553.66</v>
      </c>
      <c r="O11" s="29">
        <f>160.71+35.71</f>
        <v>196.42000000000002</v>
      </c>
      <c r="P11" s="29">
        <f>53.57+95.54+207.86</f>
        <v>356.97</v>
      </c>
      <c r="Q11" s="30">
        <f>553.64</f>
        <v>553.64</v>
      </c>
      <c r="S11" s="31">
        <f t="shared" si="1"/>
        <v>5294.4900000000007</v>
      </c>
      <c r="T11" s="8"/>
    </row>
    <row r="12" spans="2:21" ht="13.5">
      <c r="B12" s="11"/>
      <c r="C12" s="32"/>
      <c r="D12" s="8"/>
      <c r="E12" s="13"/>
      <c r="F12" s="19"/>
      <c r="G12" s="19"/>
      <c r="H12" s="19"/>
      <c r="I12" s="19"/>
      <c r="J12" s="19"/>
      <c r="K12" s="19"/>
      <c r="L12" s="19"/>
      <c r="M12" s="19"/>
      <c r="N12" s="19"/>
      <c r="O12" s="21"/>
      <c r="P12" s="21"/>
      <c r="Q12" s="21"/>
      <c r="T12" s="8"/>
    </row>
    <row r="13" spans="2:21" ht="13.5">
      <c r="B13" s="11"/>
      <c r="C13" s="33" t="s">
        <v>1</v>
      </c>
      <c r="D13" s="8"/>
      <c r="E13" s="13"/>
      <c r="O13" s="32"/>
      <c r="P13" s="32"/>
      <c r="Q13" s="32"/>
      <c r="T13" s="8"/>
    </row>
    <row r="14" spans="2:21" ht="14.25" hidden="1" thickBot="1">
      <c r="B14" s="11"/>
      <c r="C14" s="12" t="s">
        <v>25</v>
      </c>
      <c r="D14" s="8"/>
      <c r="E14" s="13"/>
      <c r="F14" s="34">
        <f t="shared" ref="F14:Q14" si="2">SUM(F15:F21)</f>
        <v>0</v>
      </c>
      <c r="G14" s="35">
        <f t="shared" si="2"/>
        <v>0</v>
      </c>
      <c r="H14" s="35">
        <f t="shared" si="2"/>
        <v>0</v>
      </c>
      <c r="I14" s="35">
        <f t="shared" si="2"/>
        <v>0</v>
      </c>
      <c r="J14" s="35">
        <f t="shared" si="2"/>
        <v>0</v>
      </c>
      <c r="K14" s="35">
        <f t="shared" si="2"/>
        <v>0</v>
      </c>
      <c r="L14" s="35">
        <f t="shared" si="2"/>
        <v>0</v>
      </c>
      <c r="M14" s="35">
        <f t="shared" si="2"/>
        <v>0</v>
      </c>
      <c r="N14" s="35">
        <f t="shared" si="2"/>
        <v>0</v>
      </c>
      <c r="O14" s="35">
        <f t="shared" si="2"/>
        <v>0</v>
      </c>
      <c r="P14" s="35">
        <f t="shared" si="2"/>
        <v>0</v>
      </c>
      <c r="Q14" s="36">
        <f t="shared" si="2"/>
        <v>0</v>
      </c>
      <c r="S14" s="37">
        <f t="shared" ref="S14:S21" si="3">SUM(F14:Q14)</f>
        <v>0</v>
      </c>
      <c r="T14" s="8"/>
    </row>
    <row r="15" spans="2:21" ht="13.5" hidden="1">
      <c r="B15" s="11"/>
      <c r="C15" s="17" t="s">
        <v>26</v>
      </c>
      <c r="D15" s="8"/>
      <c r="E15" s="13"/>
      <c r="F15" s="38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/>
      <c r="M15" s="39"/>
      <c r="N15" s="39"/>
      <c r="O15" s="39"/>
      <c r="P15" s="39"/>
      <c r="Q15" s="40"/>
      <c r="S15" s="41">
        <f t="shared" si="3"/>
        <v>0</v>
      </c>
      <c r="T15" s="8"/>
      <c r="U15" s="8"/>
    </row>
    <row r="16" spans="2:21" ht="13.5" hidden="1">
      <c r="B16" s="11"/>
      <c r="C16" s="17" t="s">
        <v>27</v>
      </c>
      <c r="D16" s="8"/>
      <c r="E16" s="13"/>
      <c r="F16" s="42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/>
      <c r="M16" s="21"/>
      <c r="N16" s="21"/>
      <c r="O16" s="21"/>
      <c r="P16" s="21"/>
      <c r="Q16" s="22"/>
      <c r="S16" s="41">
        <f t="shared" si="3"/>
        <v>0</v>
      </c>
      <c r="T16" s="8"/>
    </row>
    <row r="17" spans="1:21" ht="13.5" hidden="1">
      <c r="B17" s="11"/>
      <c r="C17" s="17" t="s">
        <v>28</v>
      </c>
      <c r="D17" s="8"/>
      <c r="E17" s="13"/>
      <c r="F17" s="42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/>
      <c r="M17" s="21"/>
      <c r="N17" s="21"/>
      <c r="O17" s="21"/>
      <c r="P17" s="21"/>
      <c r="Q17" s="22"/>
      <c r="R17" s="43"/>
      <c r="S17" s="41">
        <f t="shared" si="3"/>
        <v>0</v>
      </c>
      <c r="T17" s="8"/>
    </row>
    <row r="18" spans="1:21" ht="13.5" hidden="1">
      <c r="B18" s="11"/>
      <c r="C18" s="17" t="s">
        <v>29</v>
      </c>
      <c r="D18" s="8"/>
      <c r="E18" s="13"/>
      <c r="F18" s="42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/>
      <c r="M18" s="21"/>
      <c r="N18" s="21"/>
      <c r="O18" s="21"/>
      <c r="P18" s="21"/>
      <c r="Q18" s="22"/>
      <c r="S18" s="41">
        <f t="shared" si="3"/>
        <v>0</v>
      </c>
      <c r="T18" s="8"/>
    </row>
    <row r="19" spans="1:21" ht="13.5" hidden="1">
      <c r="B19" s="11"/>
      <c r="C19" s="17" t="s">
        <v>30</v>
      </c>
      <c r="D19" s="8"/>
      <c r="E19" s="13"/>
      <c r="F19" s="42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/>
      <c r="M19" s="21"/>
      <c r="N19" s="21"/>
      <c r="O19" s="21"/>
      <c r="P19" s="21"/>
      <c r="Q19" s="22"/>
      <c r="S19" s="41">
        <f t="shared" si="3"/>
        <v>0</v>
      </c>
      <c r="T19" s="8"/>
    </row>
    <row r="20" spans="1:21" ht="13.5" hidden="1">
      <c r="B20" s="11"/>
      <c r="C20" s="17" t="s">
        <v>31</v>
      </c>
      <c r="D20" s="8"/>
      <c r="E20" s="13"/>
      <c r="F20" s="42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/>
      <c r="M20" s="21"/>
      <c r="N20" s="21"/>
      <c r="O20" s="21"/>
      <c r="P20" s="21"/>
      <c r="Q20" s="22"/>
      <c r="S20" s="41">
        <f t="shared" si="3"/>
        <v>0</v>
      </c>
      <c r="T20" s="8"/>
    </row>
    <row r="21" spans="1:21" ht="14.25" hidden="1" thickBot="1">
      <c r="B21" s="11"/>
      <c r="C21" s="44" t="s">
        <v>32</v>
      </c>
      <c r="D21" s="8"/>
      <c r="E21" s="13"/>
      <c r="F21" s="45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/>
      <c r="M21" s="29"/>
      <c r="N21" s="29"/>
      <c r="O21" s="29"/>
      <c r="P21" s="29"/>
      <c r="Q21" s="30"/>
      <c r="S21" s="46">
        <f t="shared" si="3"/>
        <v>0</v>
      </c>
      <c r="T21" s="8"/>
    </row>
    <row r="22" spans="1:21" ht="14.25" thickBot="1">
      <c r="B22" s="11"/>
      <c r="D22" s="8"/>
      <c r="E22" s="13"/>
      <c r="F22" s="47"/>
      <c r="G22" s="47"/>
      <c r="H22" s="47"/>
      <c r="I22" s="47"/>
      <c r="J22" s="47"/>
      <c r="K22" s="47"/>
      <c r="L22" s="47"/>
      <c r="M22" s="47"/>
      <c r="N22" s="47"/>
      <c r="O22" s="21"/>
      <c r="P22" s="21"/>
      <c r="Q22" s="21"/>
      <c r="T22" s="8"/>
    </row>
    <row r="23" spans="1:21" ht="14.25" thickBot="1">
      <c r="B23" s="11"/>
      <c r="C23" s="12" t="s">
        <v>33</v>
      </c>
      <c r="D23" s="8"/>
      <c r="E23" s="13"/>
      <c r="F23" s="48">
        <f>+F25+F24+F26</f>
        <v>29735</v>
      </c>
      <c r="G23" s="49">
        <f t="shared" ref="G23:L23" si="4">+G25+G24+G26</f>
        <v>30291.86</v>
      </c>
      <c r="H23" s="49">
        <f t="shared" si="4"/>
        <v>29735</v>
      </c>
      <c r="I23" s="49">
        <f t="shared" si="4"/>
        <v>29735</v>
      </c>
      <c r="J23" s="49">
        <f t="shared" si="4"/>
        <v>29735</v>
      </c>
      <c r="K23" s="49">
        <f t="shared" si="4"/>
        <v>29735</v>
      </c>
      <c r="L23" s="49">
        <f t="shared" si="4"/>
        <v>30097.79</v>
      </c>
      <c r="M23" s="49">
        <f t="shared" ref="M23:N23" si="5">+M25+M24</f>
        <v>29735</v>
      </c>
      <c r="N23" s="49">
        <f t="shared" si="5"/>
        <v>29735</v>
      </c>
      <c r="O23" s="49">
        <f>+O25+O24</f>
        <v>29735</v>
      </c>
      <c r="P23" s="49">
        <f>+P25+P24</f>
        <v>29735.23</v>
      </c>
      <c r="Q23" s="50">
        <f>+Q25+Q24</f>
        <v>29735</v>
      </c>
      <c r="S23" s="51">
        <f t="shared" ref="S23:S32" si="6">SUM(F23:Q23)</f>
        <v>357739.88</v>
      </c>
      <c r="T23" s="8"/>
    </row>
    <row r="24" spans="1:21" ht="13.5">
      <c r="B24" s="11"/>
      <c r="C24" s="52" t="s">
        <v>34</v>
      </c>
      <c r="D24" s="8"/>
      <c r="E24" s="13">
        <v>6116</v>
      </c>
      <c r="F24" s="53">
        <v>9635</v>
      </c>
      <c r="G24" s="54">
        <v>10090.200000000001</v>
      </c>
      <c r="H24" s="54">
        <v>9635</v>
      </c>
      <c r="I24" s="54">
        <v>9635</v>
      </c>
      <c r="J24" s="54">
        <v>9635</v>
      </c>
      <c r="K24" s="54">
        <v>9635</v>
      </c>
      <c r="L24" s="54">
        <v>9635</v>
      </c>
      <c r="M24" s="54">
        <v>9635</v>
      </c>
      <c r="N24" s="54">
        <v>9635</v>
      </c>
      <c r="O24" s="54">
        <v>9635</v>
      </c>
      <c r="P24" s="54">
        <v>9635</v>
      </c>
      <c r="Q24" s="55">
        <v>9635</v>
      </c>
      <c r="S24" s="23">
        <f t="shared" si="6"/>
        <v>116075.2</v>
      </c>
      <c r="T24" s="8"/>
    </row>
    <row r="25" spans="1:21" ht="13.5">
      <c r="A25" s="56">
        <f>+F23+F28+F34+F37+F49+F57+F60+F65+F76+F84+F91+F96+F99+F105</f>
        <v>38551.69</v>
      </c>
      <c r="B25" s="11"/>
      <c r="C25" s="57" t="s">
        <v>35</v>
      </c>
      <c r="D25" s="8"/>
      <c r="E25" s="13">
        <v>6101</v>
      </c>
      <c r="F25" s="53">
        <v>20100</v>
      </c>
      <c r="G25" s="54">
        <v>20201.66</v>
      </c>
      <c r="H25" s="54">
        <v>20100</v>
      </c>
      <c r="I25" s="54">
        <v>20100</v>
      </c>
      <c r="J25" s="54">
        <v>20100</v>
      </c>
      <c r="K25" s="54">
        <v>20100</v>
      </c>
      <c r="L25" s="54">
        <v>20100</v>
      </c>
      <c r="M25" s="54">
        <v>20100</v>
      </c>
      <c r="N25" s="54">
        <v>20100</v>
      </c>
      <c r="O25" s="54">
        <v>20100</v>
      </c>
      <c r="P25" s="54">
        <v>20100.23</v>
      </c>
      <c r="Q25" s="55">
        <v>20100</v>
      </c>
      <c r="S25" s="25">
        <f t="shared" si="6"/>
        <v>241301.89</v>
      </c>
      <c r="T25" s="8"/>
      <c r="U25" s="43"/>
    </row>
    <row r="26" spans="1:21" ht="14.25" thickBot="1">
      <c r="B26" s="11"/>
      <c r="C26" s="44" t="s">
        <v>36</v>
      </c>
      <c r="D26" s="8"/>
      <c r="E26" s="13">
        <v>6118</v>
      </c>
      <c r="F26" s="58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362.79</v>
      </c>
      <c r="M26" s="59">
        <v>262.20999999999998</v>
      </c>
      <c r="N26" s="59">
        <v>312.5</v>
      </c>
      <c r="O26" s="59">
        <v>308</v>
      </c>
      <c r="P26" s="59">
        <v>308</v>
      </c>
      <c r="Q26" s="60">
        <v>308</v>
      </c>
      <c r="R26" s="54"/>
      <c r="S26" s="61">
        <f>SUM(F26:Q26)</f>
        <v>1861.5</v>
      </c>
      <c r="T26" s="8"/>
      <c r="U26" s="43"/>
    </row>
    <row r="27" spans="1:21" ht="14.25" thickBot="1">
      <c r="B27" s="11"/>
      <c r="D27" s="8"/>
      <c r="E27" s="13"/>
      <c r="F27" s="47"/>
      <c r="G27" s="47"/>
      <c r="H27" s="47"/>
      <c r="I27" s="47"/>
      <c r="J27" s="47"/>
      <c r="K27" s="47"/>
      <c r="L27" s="47"/>
      <c r="M27" s="47"/>
      <c r="N27" s="47"/>
      <c r="O27" s="21"/>
      <c r="P27" s="21"/>
      <c r="Q27" s="21"/>
      <c r="T27" s="8"/>
    </row>
    <row r="28" spans="1:21" ht="14.25" thickBot="1">
      <c r="B28" s="11"/>
      <c r="C28" s="12" t="s">
        <v>37</v>
      </c>
      <c r="D28" s="8"/>
      <c r="E28" s="13"/>
      <c r="F28" s="48">
        <f>SUM(F29:F32)</f>
        <v>15.84</v>
      </c>
      <c r="G28" s="49">
        <f t="shared" ref="G28:O28" si="7">SUM(G29:G32)</f>
        <v>705.23</v>
      </c>
      <c r="H28" s="49">
        <f t="shared" si="7"/>
        <v>599.01</v>
      </c>
      <c r="I28" s="49">
        <f t="shared" si="7"/>
        <v>311.06</v>
      </c>
      <c r="J28" s="49">
        <f t="shared" si="7"/>
        <v>185.19</v>
      </c>
      <c r="K28" s="49">
        <f t="shared" si="7"/>
        <v>209.51</v>
      </c>
      <c r="L28" s="49">
        <f t="shared" si="7"/>
        <v>184.82</v>
      </c>
      <c r="M28" s="49">
        <f t="shared" si="7"/>
        <v>196.39</v>
      </c>
      <c r="N28" s="49">
        <f t="shared" si="7"/>
        <v>300.77999999999997</v>
      </c>
      <c r="O28" s="49">
        <f t="shared" si="7"/>
        <v>200.89</v>
      </c>
      <c r="P28" s="49">
        <f>SUM(P29:P32)</f>
        <v>176.65</v>
      </c>
      <c r="Q28" s="62">
        <f>SUM(Q29:Q32)</f>
        <v>167.18</v>
      </c>
      <c r="S28" s="37">
        <f t="shared" si="6"/>
        <v>3252.5499999999997</v>
      </c>
      <c r="T28" s="8"/>
    </row>
    <row r="29" spans="1:21" ht="13.5" hidden="1">
      <c r="B29" s="11"/>
      <c r="C29" s="17" t="s">
        <v>38</v>
      </c>
      <c r="D29" s="8"/>
      <c r="E29" s="13"/>
      <c r="F29" s="53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63"/>
      <c r="M29" s="63"/>
      <c r="N29" s="63"/>
      <c r="O29" s="63"/>
      <c r="P29" s="63"/>
      <c r="Q29" s="64"/>
      <c r="S29" s="51">
        <f t="shared" si="6"/>
        <v>0</v>
      </c>
      <c r="T29" s="8"/>
    </row>
    <row r="30" spans="1:21" ht="13.5" hidden="1">
      <c r="B30" s="11"/>
      <c r="C30" s="17" t="s">
        <v>39</v>
      </c>
      <c r="D30" s="8"/>
      <c r="E30" s="13"/>
      <c r="F30" s="42">
        <v>0</v>
      </c>
      <c r="G30" s="21"/>
      <c r="H30" s="21"/>
      <c r="I30" s="21"/>
      <c r="J30" s="21"/>
      <c r="K30" s="21">
        <v>0</v>
      </c>
      <c r="L30" s="21"/>
      <c r="M30" s="21"/>
      <c r="N30" s="21"/>
      <c r="O30" s="21"/>
      <c r="P30" s="21"/>
      <c r="Q30" s="65"/>
      <c r="S30" s="41">
        <f t="shared" si="6"/>
        <v>0</v>
      </c>
      <c r="T30" s="8"/>
    </row>
    <row r="31" spans="1:21" ht="13.5" hidden="1">
      <c r="B31" s="11"/>
      <c r="C31" s="17" t="s">
        <v>40</v>
      </c>
      <c r="D31" s="8"/>
      <c r="E31" s="13"/>
      <c r="F31" s="42">
        <v>0</v>
      </c>
      <c r="G31" s="21"/>
      <c r="H31" s="21"/>
      <c r="I31" s="21"/>
      <c r="J31" s="21"/>
      <c r="K31" s="21">
        <v>0</v>
      </c>
      <c r="L31" s="21"/>
      <c r="M31" s="21"/>
      <c r="N31" s="21"/>
      <c r="O31" s="21"/>
      <c r="P31" s="21"/>
      <c r="Q31" s="65"/>
      <c r="S31" s="41">
        <f t="shared" si="6"/>
        <v>0</v>
      </c>
      <c r="T31" s="8"/>
    </row>
    <row r="32" spans="1:21" ht="14.25" thickBot="1">
      <c r="B32" s="11"/>
      <c r="C32" s="26" t="s">
        <v>41</v>
      </c>
      <c r="D32" s="8"/>
      <c r="E32" s="13">
        <v>6216</v>
      </c>
      <c r="F32" s="45">
        <v>15.84</v>
      </c>
      <c r="G32" s="29">
        <v>705.23</v>
      </c>
      <c r="H32" s="29">
        <v>599.01</v>
      </c>
      <c r="I32" s="29">
        <v>311.06</v>
      </c>
      <c r="J32" s="29">
        <v>185.19</v>
      </c>
      <c r="K32" s="29">
        <v>209.51</v>
      </c>
      <c r="L32" s="29">
        <v>184.82</v>
      </c>
      <c r="M32" s="29">
        <v>196.39</v>
      </c>
      <c r="N32" s="29">
        <f>201.38+99.4</f>
        <v>300.77999999999997</v>
      </c>
      <c r="O32" s="29">
        <f>117.79+83.1</f>
        <v>200.89</v>
      </c>
      <c r="P32" s="29">
        <v>176.65</v>
      </c>
      <c r="Q32" s="66">
        <v>167.18</v>
      </c>
      <c r="S32" s="31">
        <f t="shared" si="6"/>
        <v>3252.5499999999997</v>
      </c>
      <c r="T32" s="8"/>
    </row>
    <row r="33" spans="2:20" ht="14.25" thickBot="1">
      <c r="B33" s="11"/>
      <c r="D33" s="8"/>
      <c r="E33" s="13"/>
      <c r="F33" s="47"/>
      <c r="G33" s="47"/>
      <c r="H33" s="47"/>
      <c r="I33" s="47"/>
      <c r="J33" s="47"/>
      <c r="K33" s="47"/>
      <c r="L33" s="47"/>
      <c r="M33" s="47"/>
      <c r="N33" s="47"/>
      <c r="O33" s="21"/>
      <c r="P33" s="21"/>
      <c r="Q33" s="67"/>
      <c r="T33" s="8"/>
    </row>
    <row r="34" spans="2:20" ht="14.25" thickBot="1">
      <c r="B34" s="11"/>
      <c r="C34" s="12" t="s">
        <v>42</v>
      </c>
      <c r="D34" s="8"/>
      <c r="E34" s="13"/>
      <c r="F34" s="48">
        <f>SUM(F35:F35)</f>
        <v>100.05</v>
      </c>
      <c r="G34" s="49">
        <f t="shared" ref="G34:I34" si="8">SUM(G35:G35)</f>
        <v>129.33000000000001</v>
      </c>
      <c r="H34" s="49">
        <f t="shared" si="8"/>
        <v>99.4</v>
      </c>
      <c r="I34" s="49">
        <f t="shared" si="8"/>
        <v>99.4</v>
      </c>
      <c r="J34" s="49">
        <f t="shared" ref="J34:O34" si="9">SUM(J35:J35)</f>
        <v>99.4</v>
      </c>
      <c r="K34" s="49">
        <f t="shared" si="9"/>
        <v>99.4</v>
      </c>
      <c r="L34" s="49">
        <f t="shared" si="9"/>
        <v>99.4</v>
      </c>
      <c r="M34" s="49">
        <f t="shared" si="9"/>
        <v>99.4</v>
      </c>
      <c r="N34" s="49">
        <f t="shared" si="9"/>
        <v>267.88</v>
      </c>
      <c r="O34" s="49">
        <f t="shared" si="9"/>
        <v>99.4</v>
      </c>
      <c r="P34" s="49">
        <f>+P35</f>
        <v>99.4</v>
      </c>
      <c r="Q34" s="62">
        <f>+Q35</f>
        <v>99.4</v>
      </c>
      <c r="S34" s="37">
        <f t="shared" ref="S34:S35" si="10">SUM(F34:Q34)</f>
        <v>1391.8600000000001</v>
      </c>
      <c r="T34" s="8"/>
    </row>
    <row r="35" spans="2:20" ht="14.25" thickBot="1">
      <c r="B35" s="11"/>
      <c r="C35" s="44" t="s">
        <v>43</v>
      </c>
      <c r="D35" s="8"/>
      <c r="E35" s="13">
        <v>6218</v>
      </c>
      <c r="F35" s="45">
        <v>100.05</v>
      </c>
      <c r="G35" s="29">
        <v>129.33000000000001</v>
      </c>
      <c r="H35" s="29">
        <v>99.4</v>
      </c>
      <c r="I35" s="29">
        <v>99.4</v>
      </c>
      <c r="J35" s="29">
        <v>99.4</v>
      </c>
      <c r="K35" s="29">
        <v>99.4</v>
      </c>
      <c r="L35" s="29">
        <v>99.4</v>
      </c>
      <c r="M35" s="29">
        <v>99.4</v>
      </c>
      <c r="N35" s="29">
        <v>267.88</v>
      </c>
      <c r="O35" s="29">
        <v>99.4</v>
      </c>
      <c r="P35" s="29">
        <v>99.4</v>
      </c>
      <c r="Q35" s="66">
        <v>99.4</v>
      </c>
      <c r="S35" s="31">
        <f t="shared" si="10"/>
        <v>1391.8600000000001</v>
      </c>
      <c r="T35" s="8"/>
    </row>
    <row r="36" spans="2:20" ht="14.25" thickBot="1">
      <c r="B36" s="11"/>
      <c r="D36" s="8"/>
      <c r="E36" s="13"/>
      <c r="F36" s="47"/>
      <c r="G36" s="47"/>
      <c r="H36" s="47"/>
      <c r="I36" s="47"/>
      <c r="J36" s="47"/>
      <c r="K36" s="47"/>
      <c r="L36" s="47"/>
      <c r="M36" s="47"/>
      <c r="N36" s="47"/>
      <c r="O36" s="21"/>
      <c r="P36" s="21"/>
      <c r="Q36" s="21"/>
      <c r="T36" s="8"/>
    </row>
    <row r="37" spans="2:20" ht="14.25" thickBot="1">
      <c r="B37" s="11"/>
      <c r="C37" s="12" t="s">
        <v>44</v>
      </c>
      <c r="D37" s="8"/>
      <c r="E37" s="13"/>
      <c r="F37" s="48">
        <f>SUM(F38:F47)</f>
        <v>1899.57</v>
      </c>
      <c r="G37" s="49">
        <f t="shared" ref="G37:Q37" si="11">SUM(G38:G47)</f>
        <v>7492.64</v>
      </c>
      <c r="H37" s="49">
        <f t="shared" si="11"/>
        <v>944.98</v>
      </c>
      <c r="I37" s="49">
        <f t="shared" si="11"/>
        <v>19230.25</v>
      </c>
      <c r="J37" s="49">
        <f t="shared" si="11"/>
        <v>6734.2600000000011</v>
      </c>
      <c r="K37" s="49">
        <f t="shared" si="11"/>
        <v>2266.06</v>
      </c>
      <c r="L37" s="49">
        <f t="shared" si="11"/>
        <v>2963.26</v>
      </c>
      <c r="M37" s="49">
        <f t="shared" si="11"/>
        <v>2623.49</v>
      </c>
      <c r="N37" s="49">
        <f t="shared" si="11"/>
        <v>11934.859999999999</v>
      </c>
      <c r="O37" s="49">
        <f t="shared" si="11"/>
        <v>3957.5800000000004</v>
      </c>
      <c r="P37" s="49">
        <f t="shared" si="11"/>
        <v>1735.07</v>
      </c>
      <c r="Q37" s="50">
        <f t="shared" si="11"/>
        <v>708.81000000000006</v>
      </c>
      <c r="S37" s="37">
        <f t="shared" ref="S37:S49" si="12">SUM(F37:Q37)</f>
        <v>62490.83</v>
      </c>
      <c r="T37" s="8"/>
    </row>
    <row r="38" spans="2:20" ht="13.5" customHeight="1">
      <c r="B38" s="11"/>
      <c r="C38" s="17" t="s">
        <v>45</v>
      </c>
      <c r="D38" s="8"/>
      <c r="E38" s="13">
        <v>6109</v>
      </c>
      <c r="F38" s="68">
        <v>604.39</v>
      </c>
      <c r="G38" s="69">
        <v>112.24</v>
      </c>
      <c r="H38" s="21">
        <v>274.13</v>
      </c>
      <c r="I38" s="21">
        <v>40</v>
      </c>
      <c r="J38" s="21">
        <v>115.93</v>
      </c>
      <c r="K38" s="21">
        <v>266.56</v>
      </c>
      <c r="L38" s="21">
        <v>509.36</v>
      </c>
      <c r="M38" s="21">
        <v>428.09</v>
      </c>
      <c r="N38" s="21">
        <v>125</v>
      </c>
      <c r="O38" s="21">
        <v>1472.48</v>
      </c>
      <c r="P38" s="21">
        <f>903.29+142.28</f>
        <v>1045.57</v>
      </c>
      <c r="Q38" s="22">
        <f>76.98+365</f>
        <v>441.98</v>
      </c>
      <c r="S38" s="25">
        <f t="shared" si="12"/>
        <v>5435.73</v>
      </c>
      <c r="T38" s="8"/>
    </row>
    <row r="39" spans="2:20" ht="13.5">
      <c r="B39" s="11"/>
      <c r="C39" s="17" t="s">
        <v>46</v>
      </c>
      <c r="E39" s="13">
        <v>6117</v>
      </c>
      <c r="F39" s="42">
        <v>0</v>
      </c>
      <c r="G39" s="21">
        <v>0</v>
      </c>
      <c r="H39" s="21">
        <v>0</v>
      </c>
      <c r="I39" s="21">
        <v>18270.25</v>
      </c>
      <c r="J39" s="67">
        <v>5675.02</v>
      </c>
      <c r="K39" s="67">
        <v>1155</v>
      </c>
      <c r="L39" s="67">
        <v>0</v>
      </c>
      <c r="M39" s="67">
        <v>1155</v>
      </c>
      <c r="N39" s="67">
        <v>1670.24</v>
      </c>
      <c r="O39" s="67">
        <f>364.25+822.74</f>
        <v>1186.99</v>
      </c>
      <c r="P39" s="67">
        <v>0</v>
      </c>
      <c r="Q39" s="22">
        <v>49.5</v>
      </c>
      <c r="S39" s="25">
        <f t="shared" si="12"/>
        <v>29162.000000000004</v>
      </c>
      <c r="T39" s="8"/>
    </row>
    <row r="40" spans="2:20" ht="13.5" hidden="1">
      <c r="B40" s="11"/>
      <c r="C40" s="17" t="s">
        <v>47</v>
      </c>
      <c r="D40" s="8"/>
      <c r="E40" s="13"/>
      <c r="F40" s="42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/>
      <c r="N40" s="21"/>
      <c r="O40" s="21"/>
      <c r="P40" s="21"/>
      <c r="Q40" s="22"/>
      <c r="S40" s="25">
        <f t="shared" si="12"/>
        <v>0</v>
      </c>
      <c r="T40" s="8"/>
    </row>
    <row r="41" spans="2:20" ht="13.5">
      <c r="B41" s="11"/>
      <c r="C41" s="17" t="s">
        <v>48</v>
      </c>
      <c r="D41" s="8"/>
      <c r="E41" s="24" t="s">
        <v>49</v>
      </c>
      <c r="F41" s="42">
        <v>0</v>
      </c>
      <c r="G41" s="21">
        <v>1788.4</v>
      </c>
      <c r="H41" s="21">
        <v>0</v>
      </c>
      <c r="I41" s="21">
        <v>0</v>
      </c>
      <c r="J41" s="21">
        <v>319.08999999999997</v>
      </c>
      <c r="K41" s="21">
        <v>0</v>
      </c>
      <c r="L41" s="21">
        <v>0</v>
      </c>
      <c r="M41" s="21">
        <v>0</v>
      </c>
      <c r="N41" s="21">
        <v>0</v>
      </c>
      <c r="O41" s="21">
        <f>281.82</f>
        <v>281.82</v>
      </c>
      <c r="P41" s="21">
        <v>186.28</v>
      </c>
      <c r="Q41" s="22">
        <v>217.33</v>
      </c>
      <c r="S41" s="25">
        <f t="shared" si="12"/>
        <v>2792.9200000000005</v>
      </c>
      <c r="T41" s="8"/>
    </row>
    <row r="42" spans="2:20" ht="13.5">
      <c r="B42" s="11"/>
      <c r="C42" s="17" t="s">
        <v>50</v>
      </c>
      <c r="D42" s="8"/>
      <c r="E42" s="13">
        <v>6112</v>
      </c>
      <c r="F42" s="42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1000</v>
      </c>
      <c r="M42" s="21">
        <v>0</v>
      </c>
      <c r="N42" s="21">
        <v>0</v>
      </c>
      <c r="O42" s="21">
        <v>0</v>
      </c>
      <c r="P42" s="21">
        <v>0</v>
      </c>
      <c r="Q42" s="22">
        <v>0</v>
      </c>
      <c r="S42" s="25">
        <f t="shared" si="12"/>
        <v>1000</v>
      </c>
      <c r="T42" s="8"/>
    </row>
    <row r="43" spans="2:20" ht="13.5">
      <c r="B43" s="11"/>
      <c r="C43" s="17" t="s">
        <v>51</v>
      </c>
      <c r="D43" s="8"/>
      <c r="E43" s="13">
        <v>6108</v>
      </c>
      <c r="F43" s="42">
        <v>175</v>
      </c>
      <c r="G43" s="21">
        <v>0</v>
      </c>
      <c r="H43" s="21">
        <v>142.85</v>
      </c>
      <c r="I43" s="21">
        <v>360</v>
      </c>
      <c r="J43" s="21">
        <v>375.22</v>
      </c>
      <c r="K43" s="21">
        <v>0</v>
      </c>
      <c r="L43" s="21">
        <v>165</v>
      </c>
      <c r="M43" s="21">
        <v>420.4</v>
      </c>
      <c r="N43" s="21">
        <v>0</v>
      </c>
      <c r="O43" s="21">
        <v>289.88</v>
      </c>
      <c r="P43" s="21">
        <v>0</v>
      </c>
      <c r="Q43" s="22">
        <v>0</v>
      </c>
      <c r="S43" s="25">
        <f t="shared" si="12"/>
        <v>1928.3500000000004</v>
      </c>
      <c r="T43" s="8"/>
    </row>
    <row r="44" spans="2:20" ht="13.5" hidden="1">
      <c r="B44" s="11"/>
      <c r="C44" s="17" t="s">
        <v>52</v>
      </c>
      <c r="D44" s="8"/>
      <c r="E44" s="13"/>
      <c r="F44" s="42">
        <v>0</v>
      </c>
      <c r="G44" s="21">
        <v>0</v>
      </c>
      <c r="H44" s="21">
        <v>0</v>
      </c>
      <c r="I44" s="21">
        <v>0</v>
      </c>
      <c r="J44" s="21"/>
      <c r="K44" s="21">
        <v>0</v>
      </c>
      <c r="L44" s="21"/>
      <c r="M44" s="21"/>
      <c r="N44" s="21"/>
      <c r="O44" s="21"/>
      <c r="P44" s="21"/>
      <c r="Q44" s="22"/>
      <c r="S44" s="25">
        <f t="shared" si="12"/>
        <v>0</v>
      </c>
      <c r="T44" s="8"/>
    </row>
    <row r="45" spans="2:20" ht="13.5">
      <c r="B45" s="11"/>
      <c r="C45" s="17" t="s">
        <v>53</v>
      </c>
      <c r="D45" s="8"/>
      <c r="E45" s="13">
        <v>6111</v>
      </c>
      <c r="F45" s="42">
        <v>0</v>
      </c>
      <c r="G45" s="21">
        <v>156</v>
      </c>
      <c r="H45" s="21">
        <v>460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134</v>
      </c>
      <c r="P45" s="21">
        <v>0</v>
      </c>
      <c r="Q45" s="22">
        <v>0</v>
      </c>
      <c r="S45" s="25">
        <f t="shared" si="12"/>
        <v>750</v>
      </c>
      <c r="T45" s="8"/>
    </row>
    <row r="46" spans="2:20" ht="13.5">
      <c r="B46" s="11"/>
      <c r="C46" s="17" t="s">
        <v>54</v>
      </c>
      <c r="D46" s="8"/>
      <c r="E46" s="13">
        <v>6115</v>
      </c>
      <c r="F46" s="42">
        <v>850</v>
      </c>
      <c r="G46" s="21">
        <v>4500</v>
      </c>
      <c r="H46" s="21">
        <v>0</v>
      </c>
      <c r="I46" s="21">
        <v>180</v>
      </c>
      <c r="J46" s="21">
        <v>0</v>
      </c>
      <c r="K46" s="21">
        <v>35</v>
      </c>
      <c r="L46" s="21">
        <v>1188.9000000000001</v>
      </c>
      <c r="M46" s="21">
        <v>540</v>
      </c>
      <c r="N46" s="21">
        <v>9739.07</v>
      </c>
      <c r="O46" s="21">
        <v>106.39</v>
      </c>
      <c r="P46" s="21">
        <v>155.46</v>
      </c>
      <c r="Q46" s="22">
        <v>0</v>
      </c>
      <c r="S46" s="25">
        <f t="shared" si="12"/>
        <v>17294.82</v>
      </c>
      <c r="T46" s="8"/>
    </row>
    <row r="47" spans="2:20" ht="14.25" thickBot="1">
      <c r="B47" s="11"/>
      <c r="C47" s="26" t="s">
        <v>55</v>
      </c>
      <c r="D47" s="8"/>
      <c r="E47" s="13">
        <v>6114</v>
      </c>
      <c r="F47" s="70">
        <v>270.18</v>
      </c>
      <c r="G47" s="71">
        <v>936</v>
      </c>
      <c r="H47" s="29">
        <v>68</v>
      </c>
      <c r="I47" s="29">
        <v>380</v>
      </c>
      <c r="J47" s="29">
        <v>249</v>
      </c>
      <c r="K47" s="29">
        <v>809.5</v>
      </c>
      <c r="L47" s="29">
        <v>100</v>
      </c>
      <c r="M47" s="29">
        <v>80</v>
      </c>
      <c r="N47" s="29">
        <v>400.55</v>
      </c>
      <c r="O47" s="29">
        <v>486.02</v>
      </c>
      <c r="P47" s="29">
        <v>347.76</v>
      </c>
      <c r="Q47" s="30">
        <v>0</v>
      </c>
      <c r="S47" s="31">
        <f>SUM(F47:Q47)</f>
        <v>4127.01</v>
      </c>
      <c r="T47" s="8"/>
    </row>
    <row r="48" spans="2:20" ht="14.25" thickBot="1">
      <c r="B48" s="11"/>
      <c r="D48" s="8"/>
      <c r="E48" s="13"/>
      <c r="F48" s="47"/>
      <c r="G48" s="47"/>
      <c r="H48" s="47"/>
      <c r="I48" s="47"/>
      <c r="J48" s="47"/>
      <c r="K48" s="47"/>
      <c r="L48" s="47"/>
      <c r="M48" s="47"/>
      <c r="N48" s="47"/>
      <c r="O48" s="21"/>
      <c r="P48" s="21"/>
      <c r="Q48" s="21"/>
      <c r="T48" s="8"/>
    </row>
    <row r="49" spans="2:20" ht="14.25" thickBot="1">
      <c r="B49" s="11"/>
      <c r="C49" s="12" t="s">
        <v>56</v>
      </c>
      <c r="D49" s="8"/>
      <c r="E49" s="13"/>
      <c r="F49" s="48">
        <f>SUM(F50:F55)</f>
        <v>295.19</v>
      </c>
      <c r="G49" s="49">
        <f t="shared" ref="G49:O49" si="13">SUM(G50:G55)</f>
        <v>4057.43</v>
      </c>
      <c r="H49" s="49">
        <f t="shared" si="13"/>
        <v>231.73999999999998</v>
      </c>
      <c r="I49" s="49">
        <f t="shared" si="13"/>
        <v>673.88</v>
      </c>
      <c r="J49" s="49">
        <f t="shared" si="13"/>
        <v>6866.9100000000008</v>
      </c>
      <c r="K49" s="49">
        <f t="shared" si="13"/>
        <v>106.44</v>
      </c>
      <c r="L49" s="49">
        <f>SUM(L50:L55)</f>
        <v>163.31</v>
      </c>
      <c r="M49" s="49">
        <f t="shared" si="13"/>
        <v>1747.93</v>
      </c>
      <c r="N49" s="49">
        <f t="shared" si="13"/>
        <v>1854.9699999999998</v>
      </c>
      <c r="O49" s="49">
        <f t="shared" si="13"/>
        <v>1075.9499999999998</v>
      </c>
      <c r="P49" s="49">
        <f>SUM(P50:P55)</f>
        <v>634.78000000000009</v>
      </c>
      <c r="Q49" s="50">
        <f>SUM(Q50:Q55)</f>
        <v>16.38</v>
      </c>
      <c r="S49" s="37">
        <f t="shared" si="12"/>
        <v>17724.91</v>
      </c>
      <c r="T49" s="8"/>
    </row>
    <row r="50" spans="2:20" ht="13.5">
      <c r="B50" s="11"/>
      <c r="C50" s="17" t="s">
        <v>57</v>
      </c>
      <c r="D50" s="8"/>
      <c r="E50" s="24" t="s">
        <v>58</v>
      </c>
      <c r="F50" s="68">
        <v>0</v>
      </c>
      <c r="G50" s="69">
        <v>70</v>
      </c>
      <c r="H50" s="21">
        <v>134.19999999999999</v>
      </c>
      <c r="I50" s="21">
        <v>36</v>
      </c>
      <c r="J50" s="21">
        <v>66</v>
      </c>
      <c r="K50" s="21">
        <v>75.599999999999994</v>
      </c>
      <c r="L50" s="21">
        <v>125</v>
      </c>
      <c r="M50" s="21">
        <v>134</v>
      </c>
      <c r="N50" s="21">
        <v>94.8</v>
      </c>
      <c r="O50" s="21">
        <f>86.5+55.3</f>
        <v>141.80000000000001</v>
      </c>
      <c r="P50" s="21">
        <f>249.15+64.38</f>
        <v>313.52999999999997</v>
      </c>
      <c r="Q50" s="22">
        <v>2.54</v>
      </c>
      <c r="S50" s="25">
        <f t="shared" ref="S50:S55" si="14">SUM(F50:Q50)</f>
        <v>1193.4699999999998</v>
      </c>
      <c r="T50" s="8"/>
    </row>
    <row r="51" spans="2:20" ht="13.5">
      <c r="B51" s="11"/>
      <c r="C51" s="17" t="s">
        <v>59</v>
      </c>
      <c r="D51" s="8"/>
      <c r="E51" s="13">
        <v>6236</v>
      </c>
      <c r="F51" s="42">
        <v>0</v>
      </c>
      <c r="G51" s="21">
        <v>375.82</v>
      </c>
      <c r="H51" s="21">
        <v>0</v>
      </c>
      <c r="I51" s="21">
        <v>0</v>
      </c>
      <c r="J51" s="21">
        <v>596.84</v>
      </c>
      <c r="K51" s="21">
        <v>0</v>
      </c>
      <c r="L51" s="21">
        <v>0</v>
      </c>
      <c r="M51" s="21">
        <v>284.77</v>
      </c>
      <c r="N51" s="21">
        <v>224.55</v>
      </c>
      <c r="O51" s="21">
        <v>819.73</v>
      </c>
      <c r="P51" s="21">
        <v>311.43</v>
      </c>
      <c r="Q51" s="22">
        <v>0</v>
      </c>
      <c r="S51" s="25">
        <f t="shared" si="14"/>
        <v>2613.14</v>
      </c>
      <c r="T51" s="8"/>
    </row>
    <row r="52" spans="2:20" ht="13.5">
      <c r="B52" s="11"/>
      <c r="C52" s="17" t="s">
        <v>60</v>
      </c>
      <c r="D52" s="8"/>
      <c r="E52" s="13">
        <v>6235</v>
      </c>
      <c r="F52" s="42">
        <v>295.19</v>
      </c>
      <c r="G52" s="21">
        <v>3598.22</v>
      </c>
      <c r="H52" s="21">
        <v>89.5</v>
      </c>
      <c r="I52" s="21">
        <v>619.12</v>
      </c>
      <c r="J52" s="21">
        <v>6201.39</v>
      </c>
      <c r="K52" s="21">
        <v>0</v>
      </c>
      <c r="L52" s="21">
        <v>0</v>
      </c>
      <c r="M52" s="21">
        <v>1288.26</v>
      </c>
      <c r="N52" s="21">
        <v>1535.62</v>
      </c>
      <c r="O52" s="21">
        <v>77.55</v>
      </c>
      <c r="P52" s="21">
        <v>0</v>
      </c>
      <c r="Q52" s="22">
        <v>0</v>
      </c>
      <c r="S52" s="25">
        <f t="shared" si="14"/>
        <v>13704.849999999999</v>
      </c>
      <c r="T52" s="8"/>
    </row>
    <row r="53" spans="2:20" ht="13.5" hidden="1">
      <c r="B53" s="11"/>
      <c r="C53" s="17" t="s">
        <v>61</v>
      </c>
      <c r="D53" s="8"/>
      <c r="E53" s="13"/>
      <c r="F53" s="42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/>
      <c r="M53" s="21"/>
      <c r="N53" s="21"/>
      <c r="O53" s="21"/>
      <c r="P53" s="21"/>
      <c r="Q53" s="22"/>
      <c r="S53" s="25">
        <f t="shared" si="14"/>
        <v>0</v>
      </c>
      <c r="T53" s="8"/>
    </row>
    <row r="54" spans="2:20" ht="13.5" hidden="1">
      <c r="B54" s="11"/>
      <c r="C54" s="17" t="s">
        <v>62</v>
      </c>
      <c r="D54" s="8"/>
      <c r="E54" s="13"/>
      <c r="F54" s="42">
        <v>0</v>
      </c>
      <c r="G54" s="21">
        <v>0</v>
      </c>
      <c r="H54" s="21">
        <v>0</v>
      </c>
      <c r="I54" s="21">
        <v>0</v>
      </c>
      <c r="J54" s="21">
        <v>0</v>
      </c>
      <c r="K54" s="21">
        <v>0</v>
      </c>
      <c r="L54" s="21"/>
      <c r="M54" s="21"/>
      <c r="N54" s="21"/>
      <c r="O54" s="21"/>
      <c r="P54" s="21"/>
      <c r="Q54" s="22"/>
      <c r="S54" s="25">
        <f t="shared" si="14"/>
        <v>0</v>
      </c>
      <c r="T54" s="8"/>
    </row>
    <row r="55" spans="2:20" ht="14.25" thickBot="1">
      <c r="B55" s="11"/>
      <c r="C55" s="26" t="s">
        <v>63</v>
      </c>
      <c r="D55" s="8"/>
      <c r="E55" s="13">
        <v>6221</v>
      </c>
      <c r="F55" s="45">
        <v>0</v>
      </c>
      <c r="G55" s="29">
        <v>13.39</v>
      </c>
      <c r="H55" s="29">
        <v>8.0399999999999991</v>
      </c>
      <c r="I55" s="29">
        <v>18.760000000000002</v>
      </c>
      <c r="J55" s="29">
        <v>2.68</v>
      </c>
      <c r="K55" s="29">
        <v>30.84</v>
      </c>
      <c r="L55" s="29">
        <v>38.31</v>
      </c>
      <c r="M55" s="29">
        <v>40.9</v>
      </c>
      <c r="N55" s="29">
        <v>0</v>
      </c>
      <c r="O55" s="29">
        <v>36.869999999999997</v>
      </c>
      <c r="P55" s="29">
        <v>9.82</v>
      </c>
      <c r="Q55" s="30">
        <v>13.84</v>
      </c>
      <c r="S55" s="31">
        <f t="shared" si="14"/>
        <v>213.45</v>
      </c>
      <c r="T55" s="8"/>
    </row>
    <row r="56" spans="2:20" ht="14.25" thickBot="1">
      <c r="B56" s="11"/>
      <c r="D56" s="8"/>
      <c r="E56" s="13"/>
      <c r="J56" s="47"/>
      <c r="K56" s="47"/>
      <c r="L56" s="47"/>
      <c r="M56" s="47"/>
      <c r="N56" s="47"/>
      <c r="O56" s="21"/>
      <c r="P56" s="21"/>
      <c r="Q56" s="21"/>
      <c r="T56" s="8"/>
    </row>
    <row r="57" spans="2:20" ht="14.25" thickBot="1">
      <c r="B57" s="11"/>
      <c r="C57" s="12" t="s">
        <v>64</v>
      </c>
      <c r="D57" s="8"/>
      <c r="E57" s="13"/>
      <c r="F57" s="48">
        <f>SUM(F58)</f>
        <v>194.8</v>
      </c>
      <c r="G57" s="49">
        <f t="shared" ref="G57:I57" si="15">SUM(G58)</f>
        <v>84</v>
      </c>
      <c r="H57" s="49">
        <f t="shared" si="15"/>
        <v>142</v>
      </c>
      <c r="I57" s="49">
        <f t="shared" si="15"/>
        <v>31</v>
      </c>
      <c r="J57" s="49">
        <f t="shared" ref="J57:O57" si="16">SUM(J58)</f>
        <v>131</v>
      </c>
      <c r="K57" s="49">
        <f t="shared" si="16"/>
        <v>24</v>
      </c>
      <c r="L57" s="49">
        <f t="shared" si="16"/>
        <v>202</v>
      </c>
      <c r="M57" s="49">
        <f t="shared" si="16"/>
        <v>293</v>
      </c>
      <c r="N57" s="49">
        <f t="shared" si="16"/>
        <v>187</v>
      </c>
      <c r="O57" s="49">
        <f t="shared" si="16"/>
        <v>141</v>
      </c>
      <c r="P57" s="49">
        <f>+P58</f>
        <v>303.70999999999998</v>
      </c>
      <c r="Q57" s="50">
        <f>+Q58</f>
        <v>134.57</v>
      </c>
      <c r="S57" s="37">
        <f t="shared" ref="S57:S58" si="17">SUM(F57:Q57)</f>
        <v>1868.08</v>
      </c>
      <c r="T57" s="8"/>
    </row>
    <row r="58" spans="2:20" ht="14.25" thickBot="1">
      <c r="B58" s="11"/>
      <c r="C58" s="26" t="s">
        <v>65</v>
      </c>
      <c r="D58" s="8"/>
      <c r="E58" s="13">
        <v>6213</v>
      </c>
      <c r="F58" s="58">
        <v>194.8</v>
      </c>
      <c r="G58" s="59">
        <v>84</v>
      </c>
      <c r="H58" s="59">
        <v>142</v>
      </c>
      <c r="I58" s="59">
        <v>31</v>
      </c>
      <c r="J58" s="59">
        <v>131</v>
      </c>
      <c r="K58" s="29">
        <v>24</v>
      </c>
      <c r="L58" s="29">
        <v>202</v>
      </c>
      <c r="M58" s="29">
        <v>293</v>
      </c>
      <c r="N58" s="29">
        <v>187</v>
      </c>
      <c r="O58" s="29">
        <v>141</v>
      </c>
      <c r="P58" s="29">
        <v>303.70999999999998</v>
      </c>
      <c r="Q58" s="30">
        <v>134.57</v>
      </c>
      <c r="S58" s="31">
        <f t="shared" si="17"/>
        <v>1868.08</v>
      </c>
      <c r="T58" s="8"/>
    </row>
    <row r="59" spans="2:20" ht="14.25" thickBot="1">
      <c r="B59" s="11"/>
      <c r="C59" s="32"/>
      <c r="D59" s="8"/>
      <c r="E59" s="13"/>
      <c r="F59" s="69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T59" s="8"/>
    </row>
    <row r="60" spans="2:20" ht="14.25" thickBot="1">
      <c r="B60" s="11"/>
      <c r="C60" s="12" t="s">
        <v>66</v>
      </c>
      <c r="D60" s="8"/>
      <c r="E60" s="13"/>
      <c r="F60" s="48">
        <f>SUM(F61:F62)</f>
        <v>12.79</v>
      </c>
      <c r="G60" s="49">
        <f t="shared" ref="G60:O60" si="18">SUM(G61:G62)</f>
        <v>99.14</v>
      </c>
      <c r="H60" s="49">
        <f t="shared" si="18"/>
        <v>0</v>
      </c>
      <c r="I60" s="49">
        <f t="shared" si="18"/>
        <v>0</v>
      </c>
      <c r="J60" s="49">
        <f t="shared" si="18"/>
        <v>393.6</v>
      </c>
      <c r="K60" s="49">
        <f t="shared" si="18"/>
        <v>75</v>
      </c>
      <c r="L60" s="49">
        <f t="shared" si="18"/>
        <v>7.61</v>
      </c>
      <c r="M60" s="49">
        <f t="shared" si="18"/>
        <v>0</v>
      </c>
      <c r="N60" s="49">
        <f t="shared" si="18"/>
        <v>0</v>
      </c>
      <c r="O60" s="49">
        <f t="shared" si="18"/>
        <v>0</v>
      </c>
      <c r="P60" s="49">
        <f>+P62+P61</f>
        <v>547.94000000000005</v>
      </c>
      <c r="Q60" s="50">
        <f>+Q61+Q62</f>
        <v>957.26</v>
      </c>
      <c r="S60" s="37">
        <f t="shared" ref="S60:S72" si="19">SUM(F60:Q60)</f>
        <v>2093.34</v>
      </c>
      <c r="T60" s="8"/>
    </row>
    <row r="61" spans="2:20" ht="13.5" hidden="1">
      <c r="B61" s="11"/>
      <c r="C61" s="57" t="s">
        <v>67</v>
      </c>
      <c r="D61" s="8"/>
      <c r="E61" s="13"/>
      <c r="F61" s="53">
        <v>0</v>
      </c>
      <c r="G61" s="54">
        <v>0</v>
      </c>
      <c r="H61" s="54">
        <v>0</v>
      </c>
      <c r="I61" s="54">
        <v>0</v>
      </c>
      <c r="J61" s="54"/>
      <c r="K61" s="54"/>
      <c r="L61" s="54"/>
      <c r="M61" s="54"/>
      <c r="N61" s="54"/>
      <c r="O61" s="21"/>
      <c r="P61" s="21"/>
      <c r="Q61" s="22"/>
      <c r="S61" s="25">
        <f t="shared" si="19"/>
        <v>0</v>
      </c>
      <c r="T61" s="8"/>
    </row>
    <row r="62" spans="2:20" ht="14.25" thickBot="1">
      <c r="B62" s="11"/>
      <c r="C62" s="26" t="s">
        <v>68</v>
      </c>
      <c r="D62" s="8"/>
      <c r="E62" s="24" t="s">
        <v>69</v>
      </c>
      <c r="F62" s="70">
        <v>12.79</v>
      </c>
      <c r="G62" s="71">
        <v>99.14</v>
      </c>
      <c r="H62" s="29">
        <v>0</v>
      </c>
      <c r="I62" s="29">
        <v>0</v>
      </c>
      <c r="J62" s="29">
        <v>393.6</v>
      </c>
      <c r="K62" s="29">
        <v>75</v>
      </c>
      <c r="L62" s="29">
        <v>7.61</v>
      </c>
      <c r="M62" s="29">
        <v>0</v>
      </c>
      <c r="N62" s="29">
        <v>0</v>
      </c>
      <c r="O62" s="29">
        <v>0</v>
      </c>
      <c r="P62" s="29">
        <v>547.94000000000005</v>
      </c>
      <c r="Q62" s="30">
        <f>452.28+504.98</f>
        <v>957.26</v>
      </c>
      <c r="S62" s="31">
        <f t="shared" si="19"/>
        <v>2093.34</v>
      </c>
      <c r="T62" s="8"/>
    </row>
    <row r="63" spans="2:20" ht="13.5">
      <c r="B63" s="11"/>
      <c r="C63" s="32"/>
      <c r="D63" s="8"/>
      <c r="E63" s="24"/>
      <c r="F63" s="69"/>
      <c r="G63" s="69"/>
      <c r="H63" s="21"/>
      <c r="I63" s="21"/>
      <c r="J63" s="21"/>
      <c r="K63" s="21"/>
      <c r="L63" s="21"/>
      <c r="M63" s="21"/>
      <c r="N63" s="21"/>
      <c r="O63" s="21"/>
      <c r="P63" s="21"/>
      <c r="Q63" s="21"/>
      <c r="S63" s="72"/>
      <c r="T63" s="8"/>
    </row>
    <row r="64" spans="2:20" ht="14.25" thickBot="1">
      <c r="B64" s="11"/>
      <c r="C64" s="73"/>
      <c r="D64" s="8"/>
      <c r="E64" s="13"/>
      <c r="F64" s="69"/>
      <c r="G64" s="69"/>
      <c r="H64" s="21"/>
      <c r="I64" s="21"/>
      <c r="J64" s="21"/>
      <c r="K64" s="21"/>
      <c r="L64" s="21"/>
      <c r="M64" s="21"/>
      <c r="N64" s="21"/>
      <c r="O64" s="21"/>
      <c r="P64" s="21"/>
      <c r="Q64" s="21"/>
      <c r="T64" s="8"/>
    </row>
    <row r="65" spans="2:20" ht="14.25" thickBot="1">
      <c r="B65" s="11"/>
      <c r="C65" s="12" t="s">
        <v>70</v>
      </c>
      <c r="D65" s="8"/>
      <c r="E65" s="13"/>
      <c r="F65" s="48">
        <f>SUM(F66:F67)</f>
        <v>2649.25</v>
      </c>
      <c r="G65" s="49">
        <f t="shared" ref="G65:Q65" si="20">SUM(G66:G67)</f>
        <v>4485.33</v>
      </c>
      <c r="H65" s="49">
        <f t="shared" si="20"/>
        <v>2698.79</v>
      </c>
      <c r="I65" s="49">
        <f t="shared" si="20"/>
        <v>4453.91</v>
      </c>
      <c r="J65" s="49">
        <f t="shared" si="20"/>
        <v>2963.94</v>
      </c>
      <c r="K65" s="49">
        <f t="shared" si="20"/>
        <v>2925.18</v>
      </c>
      <c r="L65" s="49">
        <f t="shared" si="20"/>
        <v>2946.02</v>
      </c>
      <c r="M65" s="49">
        <f t="shared" si="20"/>
        <v>3002.7999999999997</v>
      </c>
      <c r="N65" s="49">
        <f t="shared" si="20"/>
        <v>4083.54</v>
      </c>
      <c r="O65" s="49">
        <f t="shared" si="20"/>
        <v>2508.88</v>
      </c>
      <c r="P65" s="49">
        <f t="shared" si="20"/>
        <v>2211.0500000000002</v>
      </c>
      <c r="Q65" s="50">
        <f t="shared" si="20"/>
        <v>2243.96</v>
      </c>
      <c r="S65" s="37">
        <f t="shared" si="19"/>
        <v>37172.65</v>
      </c>
      <c r="T65" s="8"/>
    </row>
    <row r="66" spans="2:20" ht="13.5">
      <c r="B66" s="11"/>
      <c r="C66" s="74" t="s">
        <v>71</v>
      </c>
      <c r="D66" s="8"/>
      <c r="E66" s="13">
        <v>8102</v>
      </c>
      <c r="F66" s="68">
        <v>2649.25</v>
      </c>
      <c r="G66" s="69">
        <v>4485.33</v>
      </c>
      <c r="H66" s="21">
        <v>2698.79</v>
      </c>
      <c r="I66" s="21">
        <v>4453.91</v>
      </c>
      <c r="J66" s="21">
        <v>2948.94</v>
      </c>
      <c r="K66" s="21">
        <v>2923.18</v>
      </c>
      <c r="L66" s="21">
        <v>2946.02</v>
      </c>
      <c r="M66" s="21">
        <v>2586.1</v>
      </c>
      <c r="N66" s="21">
        <v>4083.54</v>
      </c>
      <c r="O66" s="21">
        <v>2508.88</v>
      </c>
      <c r="P66" s="21">
        <v>2209.0500000000002</v>
      </c>
      <c r="Q66" s="22">
        <v>2243.96</v>
      </c>
      <c r="S66" s="25">
        <f t="shared" si="19"/>
        <v>36736.949999999997</v>
      </c>
      <c r="T66" s="8"/>
    </row>
    <row r="67" spans="2:20" ht="14.25" thickBot="1">
      <c r="B67" s="11"/>
      <c r="C67" s="26" t="s">
        <v>72</v>
      </c>
      <c r="D67" s="8"/>
      <c r="E67" s="13">
        <v>6220</v>
      </c>
      <c r="F67" s="70">
        <v>0</v>
      </c>
      <c r="G67" s="71">
        <v>0</v>
      </c>
      <c r="H67" s="29">
        <v>0</v>
      </c>
      <c r="I67" s="29">
        <v>0</v>
      </c>
      <c r="J67" s="29">
        <v>15</v>
      </c>
      <c r="K67" s="29">
        <v>2</v>
      </c>
      <c r="L67" s="29" t="s">
        <v>73</v>
      </c>
      <c r="M67" s="29">
        <v>416.7</v>
      </c>
      <c r="N67" s="29">
        <v>0</v>
      </c>
      <c r="O67" s="29"/>
      <c r="P67" s="29">
        <v>2</v>
      </c>
      <c r="Q67" s="30">
        <v>0</v>
      </c>
      <c r="S67" s="31">
        <f t="shared" si="19"/>
        <v>435.7</v>
      </c>
      <c r="T67" s="8"/>
    </row>
    <row r="68" spans="2:20" ht="13.5">
      <c r="B68" s="11"/>
      <c r="D68" s="8"/>
      <c r="E68" s="13"/>
      <c r="F68" s="47"/>
      <c r="G68" s="47"/>
      <c r="H68" s="47"/>
      <c r="I68" s="47"/>
      <c r="J68" s="47"/>
      <c r="K68" s="47"/>
      <c r="L68" s="47"/>
      <c r="M68" s="47"/>
      <c r="N68" s="47"/>
      <c r="O68" s="21"/>
      <c r="P68" s="21"/>
      <c r="Q68" s="21"/>
      <c r="R68" s="8"/>
      <c r="T68" s="8"/>
    </row>
    <row r="69" spans="2:20" ht="14.25" hidden="1" thickBot="1">
      <c r="B69" s="11"/>
      <c r="C69" s="12" t="s">
        <v>74</v>
      </c>
      <c r="D69" s="8"/>
      <c r="E69" s="13"/>
      <c r="F69" s="48">
        <f t="shared" ref="F69:I69" si="21">SUM(F70)</f>
        <v>0</v>
      </c>
      <c r="G69" s="49">
        <f t="shared" si="21"/>
        <v>0</v>
      </c>
      <c r="H69" s="49">
        <f t="shared" si="21"/>
        <v>0</v>
      </c>
      <c r="I69" s="49">
        <f t="shared" si="21"/>
        <v>0</v>
      </c>
      <c r="J69" s="49">
        <f t="shared" ref="J69:Q69" si="22">SUM(J70)</f>
        <v>0</v>
      </c>
      <c r="K69" s="49">
        <f t="shared" si="22"/>
        <v>0</v>
      </c>
      <c r="L69" s="49">
        <f t="shared" si="22"/>
        <v>0</v>
      </c>
      <c r="M69" s="49">
        <f t="shared" si="22"/>
        <v>0</v>
      </c>
      <c r="N69" s="49">
        <f t="shared" si="22"/>
        <v>0</v>
      </c>
      <c r="O69" s="49">
        <f t="shared" si="22"/>
        <v>0</v>
      </c>
      <c r="P69" s="49">
        <f t="shared" si="22"/>
        <v>0</v>
      </c>
      <c r="Q69" s="50">
        <f t="shared" si="22"/>
        <v>0</v>
      </c>
      <c r="S69" s="37">
        <f t="shared" si="19"/>
        <v>0</v>
      </c>
      <c r="T69" s="8"/>
    </row>
    <row r="70" spans="2:20" ht="14.25" hidden="1" thickBot="1">
      <c r="B70" s="11"/>
      <c r="C70" s="26" t="s">
        <v>75</v>
      </c>
      <c r="D70" s="8"/>
      <c r="E70" s="13"/>
      <c r="F70" s="45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30"/>
      <c r="S70" s="31">
        <f t="shared" si="19"/>
        <v>0</v>
      </c>
      <c r="T70" s="8"/>
    </row>
    <row r="71" spans="2:20" ht="14.25" thickBot="1">
      <c r="B71" s="11"/>
      <c r="D71" s="8"/>
      <c r="E71" s="13"/>
      <c r="F71" s="47"/>
      <c r="G71" s="47"/>
      <c r="H71" s="47"/>
      <c r="I71" s="47"/>
      <c r="J71" s="47"/>
      <c r="K71" s="47"/>
      <c r="L71" s="47"/>
      <c r="M71" s="47"/>
      <c r="N71" s="47"/>
      <c r="O71" s="21"/>
      <c r="P71" s="21"/>
      <c r="Q71" s="21"/>
      <c r="T71" s="8"/>
    </row>
    <row r="72" spans="2:20" ht="14.25" thickBot="1">
      <c r="B72" s="11"/>
      <c r="C72" s="6" t="s">
        <v>76</v>
      </c>
      <c r="D72" s="8"/>
      <c r="E72" s="13"/>
      <c r="F72" s="75">
        <f>+F14+F23+F28+F37+F49+F57+F34+F65+F69+F60</f>
        <v>34902.49</v>
      </c>
      <c r="G72" s="75">
        <f t="shared" ref="G72:Q72" si="23">+G14+G23+G28+G37+G49+G57+G34+G65+G69+G60</f>
        <v>47344.960000000006</v>
      </c>
      <c r="H72" s="75">
        <f t="shared" si="23"/>
        <v>34450.92</v>
      </c>
      <c r="I72" s="75">
        <f t="shared" si="23"/>
        <v>54534.5</v>
      </c>
      <c r="J72" s="75">
        <f t="shared" si="23"/>
        <v>47109.3</v>
      </c>
      <c r="K72" s="75">
        <f t="shared" si="23"/>
        <v>35440.589999999997</v>
      </c>
      <c r="L72" s="75">
        <f t="shared" si="23"/>
        <v>36664.21</v>
      </c>
      <c r="M72" s="75">
        <f t="shared" si="23"/>
        <v>37698.01</v>
      </c>
      <c r="N72" s="75">
        <f t="shared" si="23"/>
        <v>48364.03</v>
      </c>
      <c r="O72" s="75">
        <f t="shared" si="23"/>
        <v>37718.699999999997</v>
      </c>
      <c r="P72" s="75">
        <f t="shared" si="23"/>
        <v>35443.83</v>
      </c>
      <c r="Q72" s="75">
        <f t="shared" si="23"/>
        <v>34062.560000000005</v>
      </c>
      <c r="S72" s="37">
        <f t="shared" si="19"/>
        <v>483734.10000000003</v>
      </c>
      <c r="T72" s="8"/>
    </row>
    <row r="73" spans="2:20" ht="14.25" thickTop="1">
      <c r="B73" s="11"/>
      <c r="C73" s="6"/>
      <c r="D73" s="8"/>
      <c r="E73" s="13"/>
      <c r="O73" s="32"/>
      <c r="P73" s="32"/>
      <c r="Q73" s="32"/>
      <c r="S73" s="7"/>
      <c r="T73" s="8"/>
    </row>
    <row r="74" spans="2:20" ht="13.5">
      <c r="B74" s="11"/>
      <c r="C74" s="33" t="s">
        <v>77</v>
      </c>
      <c r="D74" s="8"/>
      <c r="E74" s="13"/>
      <c r="O74" s="32"/>
      <c r="P74" s="32"/>
      <c r="Q74" s="32"/>
      <c r="T74" s="8"/>
    </row>
    <row r="75" spans="2:20" ht="14.25" thickBot="1">
      <c r="B75" s="11"/>
      <c r="C75" s="33"/>
      <c r="D75" s="8"/>
      <c r="E75" s="13"/>
      <c r="F75" s="47"/>
      <c r="G75" s="47"/>
      <c r="H75" s="47"/>
      <c r="I75" s="47"/>
      <c r="J75" s="47"/>
      <c r="K75" s="47"/>
      <c r="L75" s="47"/>
      <c r="M75" s="47"/>
      <c r="N75" s="47"/>
      <c r="O75" s="21"/>
      <c r="P75" s="21"/>
      <c r="Q75" s="21"/>
      <c r="T75" s="8"/>
    </row>
    <row r="76" spans="2:20" ht="14.25" thickBot="1">
      <c r="B76" s="11"/>
      <c r="C76" s="12" t="s">
        <v>25</v>
      </c>
      <c r="D76" s="8"/>
      <c r="E76" s="13"/>
      <c r="F76" s="14">
        <f>SUM(F77:F82)</f>
        <v>2967.19</v>
      </c>
      <c r="G76" s="15">
        <f t="shared" ref="G76:Q76" si="24">SUM(G77:G82)</f>
        <v>2930.09</v>
      </c>
      <c r="H76" s="15">
        <f t="shared" si="24"/>
        <v>3012.6499999999996</v>
      </c>
      <c r="I76" s="15">
        <f t="shared" si="24"/>
        <v>3039.44</v>
      </c>
      <c r="J76" s="15">
        <f t="shared" si="24"/>
        <v>3895.66</v>
      </c>
      <c r="K76" s="15">
        <f t="shared" si="24"/>
        <v>3111.14</v>
      </c>
      <c r="L76" s="15">
        <f t="shared" si="24"/>
        <v>2917.72</v>
      </c>
      <c r="M76" s="15">
        <f t="shared" si="24"/>
        <v>2942.45</v>
      </c>
      <c r="N76" s="15">
        <f t="shared" si="24"/>
        <v>2821.23</v>
      </c>
      <c r="O76" s="15">
        <f t="shared" si="24"/>
        <v>3150.32</v>
      </c>
      <c r="P76" s="15">
        <f t="shared" si="24"/>
        <v>3552.84</v>
      </c>
      <c r="Q76" s="76">
        <f t="shared" si="24"/>
        <v>3663.08</v>
      </c>
      <c r="S76" s="77">
        <f t="shared" ref="S76:S102" si="25">SUM(F76:Q76)</f>
        <v>38003.810000000005</v>
      </c>
      <c r="T76" s="8"/>
    </row>
    <row r="77" spans="2:20" ht="13.5">
      <c r="B77" s="11"/>
      <c r="C77" s="17" t="s">
        <v>78</v>
      </c>
      <c r="D77" s="8"/>
      <c r="E77" s="24" t="s">
        <v>79</v>
      </c>
      <c r="F77" s="42">
        <f>2200+120</f>
        <v>2320</v>
      </c>
      <c r="G77" s="21">
        <f>2190+100</f>
        <v>2290</v>
      </c>
      <c r="H77" s="21">
        <f>2033.33+120</f>
        <v>2153.33</v>
      </c>
      <c r="I77" s="21">
        <f>2276.66+100</f>
        <v>2376.66</v>
      </c>
      <c r="J77" s="21">
        <f>2775+40</f>
        <v>2815</v>
      </c>
      <c r="K77" s="21">
        <f>2200+100</f>
        <v>2300</v>
      </c>
      <c r="L77" s="21">
        <f>2200+80</f>
        <v>2280</v>
      </c>
      <c r="M77" s="21">
        <f>2200+100</f>
        <v>2300</v>
      </c>
      <c r="N77" s="21">
        <f>1950+80</f>
        <v>2030</v>
      </c>
      <c r="O77" s="21">
        <f>2250+80</f>
        <v>2330</v>
      </c>
      <c r="P77" s="21">
        <f>2546.67+60+30+15+15+35</f>
        <v>2701.67</v>
      </c>
      <c r="Q77" s="22">
        <f>2606.67+80</f>
        <v>2686.67</v>
      </c>
      <c r="S77" s="78">
        <f t="shared" si="25"/>
        <v>28583.329999999994</v>
      </c>
      <c r="T77" s="8"/>
    </row>
    <row r="78" spans="2:20" ht="13.5">
      <c r="B78" s="11"/>
      <c r="C78" s="17" t="s">
        <v>80</v>
      </c>
      <c r="D78" s="8"/>
      <c r="E78" s="24" t="s">
        <v>81</v>
      </c>
      <c r="F78" s="42">
        <f>193.34+98.5</f>
        <v>291.84000000000003</v>
      </c>
      <c r="G78" s="21">
        <f>190.83+98.5</f>
        <v>289.33000000000004</v>
      </c>
      <c r="H78" s="21">
        <f>179.44+87.56</f>
        <v>267</v>
      </c>
      <c r="I78" s="21">
        <f>198.06+100.69</f>
        <v>298.75</v>
      </c>
      <c r="J78" s="21">
        <f>234.58+114.92</f>
        <v>349.5</v>
      </c>
      <c r="K78" s="21">
        <f>191.67+98.5</f>
        <v>290.16999999999996</v>
      </c>
      <c r="L78" s="21">
        <f>190+98.5</f>
        <v>288.5</v>
      </c>
      <c r="M78" s="21">
        <f>191.67+98.5</f>
        <v>290.16999999999996</v>
      </c>
      <c r="N78" s="21">
        <f>169.17+82.08</f>
        <v>251.25</v>
      </c>
      <c r="O78" s="21">
        <f>245.14</f>
        <v>245.14</v>
      </c>
      <c r="P78" s="21">
        <f>217.22+106.16</f>
        <v>323.38</v>
      </c>
      <c r="Q78" s="22">
        <f>262.22+98.5</f>
        <v>360.72</v>
      </c>
      <c r="S78" s="78">
        <f t="shared" si="25"/>
        <v>3545.75</v>
      </c>
      <c r="T78" s="8"/>
    </row>
    <row r="79" spans="2:20" ht="13.5">
      <c r="B79" s="11"/>
      <c r="C79" s="17" t="s">
        <v>28</v>
      </c>
      <c r="D79" s="8"/>
      <c r="E79" s="13">
        <v>6207</v>
      </c>
      <c r="F79" s="42">
        <v>258.68</v>
      </c>
      <c r="G79" s="21">
        <v>255.34</v>
      </c>
      <c r="H79" s="21">
        <v>240.1</v>
      </c>
      <c r="I79" s="21">
        <v>265</v>
      </c>
      <c r="J79" s="21">
        <v>313.87</v>
      </c>
      <c r="K79" s="21">
        <v>256.45</v>
      </c>
      <c r="L79" s="21">
        <v>254.22</v>
      </c>
      <c r="M79" s="21">
        <v>256.45</v>
      </c>
      <c r="N79" s="21">
        <v>237.7</v>
      </c>
      <c r="O79" s="21">
        <v>273.38</v>
      </c>
      <c r="P79" s="21">
        <v>419.18</v>
      </c>
      <c r="Q79" s="22">
        <v>279.45</v>
      </c>
      <c r="S79" s="78">
        <f t="shared" si="25"/>
        <v>3309.8199999999997</v>
      </c>
      <c r="T79" s="8"/>
    </row>
    <row r="80" spans="2:20" ht="13.5">
      <c r="B80" s="11"/>
      <c r="C80" s="17" t="s">
        <v>31</v>
      </c>
      <c r="D80" s="8"/>
      <c r="E80" s="13">
        <v>6234</v>
      </c>
      <c r="F80" s="42">
        <v>0</v>
      </c>
      <c r="G80" s="21">
        <v>0</v>
      </c>
      <c r="H80" s="21">
        <v>262.5</v>
      </c>
      <c r="I80" s="21">
        <v>0</v>
      </c>
      <c r="J80" s="21">
        <v>300</v>
      </c>
      <c r="K80" s="21">
        <v>0</v>
      </c>
      <c r="L80" s="21">
        <v>0</v>
      </c>
      <c r="M80" s="21">
        <v>0</v>
      </c>
      <c r="N80" s="21">
        <v>217.34</v>
      </c>
      <c r="O80" s="21">
        <v>0</v>
      </c>
      <c r="P80" s="21">
        <v>0</v>
      </c>
      <c r="Q80" s="22">
        <v>0</v>
      </c>
      <c r="S80" s="78">
        <f t="shared" si="25"/>
        <v>779.84</v>
      </c>
      <c r="T80" s="8"/>
    </row>
    <row r="81" spans="2:20" ht="13.5" hidden="1">
      <c r="B81" s="11"/>
      <c r="C81" s="17" t="s">
        <v>82</v>
      </c>
      <c r="D81" s="8"/>
      <c r="E81" s="13">
        <v>6209</v>
      </c>
      <c r="F81" s="42">
        <v>96.67</v>
      </c>
      <c r="G81" s="21">
        <v>95.42</v>
      </c>
      <c r="H81" s="21">
        <v>89.72</v>
      </c>
      <c r="I81" s="21">
        <v>99.03</v>
      </c>
      <c r="J81" s="21">
        <v>117.29</v>
      </c>
      <c r="K81" s="21">
        <v>156.52000000000001</v>
      </c>
      <c r="L81" s="21">
        <v>95</v>
      </c>
      <c r="M81" s="21">
        <v>95.83</v>
      </c>
      <c r="N81" s="21">
        <v>84.94</v>
      </c>
      <c r="O81" s="21">
        <v>301.8</v>
      </c>
      <c r="P81" s="21">
        <v>108.61</v>
      </c>
      <c r="Q81" s="22">
        <f>693.24-357</f>
        <v>336.24</v>
      </c>
      <c r="S81" s="78">
        <f>SUM(F81:Q81)</f>
        <v>1677.07</v>
      </c>
      <c r="T81" s="8"/>
    </row>
    <row r="82" spans="2:20" ht="14.25" thickBot="1">
      <c r="B82" s="11"/>
      <c r="C82" s="44" t="s">
        <v>32</v>
      </c>
      <c r="D82" s="8"/>
      <c r="E82" s="13">
        <v>6222</v>
      </c>
      <c r="F82" s="45">
        <v>0</v>
      </c>
      <c r="G82" s="71">
        <v>0</v>
      </c>
      <c r="H82" s="29">
        <v>0</v>
      </c>
      <c r="I82" s="29">
        <v>0</v>
      </c>
      <c r="J82" s="29">
        <v>0</v>
      </c>
      <c r="K82" s="29">
        <v>108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30">
        <v>0</v>
      </c>
      <c r="S82" s="79">
        <f t="shared" si="25"/>
        <v>108</v>
      </c>
      <c r="T82" s="8"/>
    </row>
    <row r="83" spans="2:20" ht="14.25" thickBot="1">
      <c r="B83" s="11"/>
      <c r="D83" s="8"/>
      <c r="E83" s="13"/>
      <c r="F83" s="47"/>
      <c r="G83" s="47"/>
      <c r="H83" s="47"/>
      <c r="I83" s="47"/>
      <c r="J83" s="47"/>
      <c r="K83" s="47"/>
      <c r="L83" s="47"/>
      <c r="M83" s="47"/>
      <c r="N83" s="47"/>
      <c r="O83" s="21"/>
      <c r="P83" s="21"/>
      <c r="Q83" s="21"/>
      <c r="T83" s="8"/>
    </row>
    <row r="84" spans="2:20" ht="14.25" thickBot="1">
      <c r="B84" s="11"/>
      <c r="C84" s="12" t="s">
        <v>33</v>
      </c>
      <c r="D84" s="8"/>
      <c r="E84" s="13"/>
      <c r="F84" s="48">
        <f>SUM(F85:F88)</f>
        <v>53.57</v>
      </c>
      <c r="G84" s="49">
        <f t="shared" ref="G84:Q84" si="26">SUM(G85:G88)</f>
        <v>1302.1400000000001</v>
      </c>
      <c r="H84" s="49">
        <f t="shared" si="26"/>
        <v>0</v>
      </c>
      <c r="I84" s="49">
        <f t="shared" si="26"/>
        <v>749.4</v>
      </c>
      <c r="J84" s="49">
        <f t="shared" si="26"/>
        <v>1169.5899999999999</v>
      </c>
      <c r="K84" s="49">
        <f t="shared" si="26"/>
        <v>1087.74</v>
      </c>
      <c r="L84" s="49">
        <f t="shared" si="26"/>
        <v>3471.79</v>
      </c>
      <c r="M84" s="49">
        <f t="shared" si="26"/>
        <v>1181.95</v>
      </c>
      <c r="N84" s="49">
        <f t="shared" si="26"/>
        <v>1175.3399999999999</v>
      </c>
      <c r="O84" s="49">
        <f t="shared" si="26"/>
        <v>1500</v>
      </c>
      <c r="P84" s="49">
        <f t="shared" si="26"/>
        <v>0</v>
      </c>
      <c r="Q84" s="50">
        <f t="shared" si="26"/>
        <v>2021.87</v>
      </c>
      <c r="S84" s="77">
        <f t="shared" si="25"/>
        <v>13713.39</v>
      </c>
      <c r="T84" s="8"/>
    </row>
    <row r="85" spans="2:20" ht="13.5" hidden="1">
      <c r="B85" s="11"/>
      <c r="C85" s="57" t="s">
        <v>83</v>
      </c>
      <c r="D85" s="8"/>
      <c r="E85" s="13"/>
      <c r="F85" s="80">
        <v>0</v>
      </c>
      <c r="G85" s="63">
        <v>0</v>
      </c>
      <c r="H85" s="63">
        <v>0</v>
      </c>
      <c r="I85" s="54">
        <v>0</v>
      </c>
      <c r="J85" s="63">
        <v>0</v>
      </c>
      <c r="K85" s="63">
        <v>0</v>
      </c>
      <c r="L85" s="63"/>
      <c r="M85" s="63"/>
      <c r="N85" s="63"/>
      <c r="O85" s="63"/>
      <c r="P85" s="63"/>
      <c r="Q85" s="64"/>
      <c r="S85" s="78">
        <f t="shared" si="25"/>
        <v>0</v>
      </c>
      <c r="T85" s="8"/>
    </row>
    <row r="86" spans="2:20" ht="13.5">
      <c r="B86" s="11"/>
      <c r="C86" s="57" t="s">
        <v>84</v>
      </c>
      <c r="D86" s="8"/>
      <c r="E86" s="13">
        <v>6110</v>
      </c>
      <c r="F86" s="53">
        <v>0</v>
      </c>
      <c r="G86" s="54">
        <v>1302.1400000000001</v>
      </c>
      <c r="H86" s="54">
        <v>0</v>
      </c>
      <c r="I86" s="54">
        <v>749.4</v>
      </c>
      <c r="J86" s="54">
        <v>1169.5899999999999</v>
      </c>
      <c r="K86" s="54">
        <v>1087.74</v>
      </c>
      <c r="L86" s="54">
        <v>3471.79</v>
      </c>
      <c r="M86" s="54">
        <v>1181.95</v>
      </c>
      <c r="N86" s="54">
        <v>1175.3399999999999</v>
      </c>
      <c r="O86" s="54">
        <v>1500</v>
      </c>
      <c r="P86" s="54">
        <v>0</v>
      </c>
      <c r="Q86" s="55">
        <v>2021.87</v>
      </c>
      <c r="S86" s="78">
        <f t="shared" si="25"/>
        <v>13659.82</v>
      </c>
      <c r="T86" s="8"/>
    </row>
    <row r="87" spans="2:20" ht="13.5" hidden="1">
      <c r="B87" s="11"/>
      <c r="C87" s="17" t="s">
        <v>85</v>
      </c>
      <c r="D87" s="8"/>
      <c r="E87" s="13"/>
      <c r="F87" s="42">
        <v>0</v>
      </c>
      <c r="G87" s="21">
        <v>0</v>
      </c>
      <c r="H87" s="21">
        <v>0</v>
      </c>
      <c r="I87" s="21">
        <v>0</v>
      </c>
      <c r="J87" s="21">
        <v>0</v>
      </c>
      <c r="K87" s="21"/>
      <c r="L87" s="21"/>
      <c r="M87" s="21"/>
      <c r="N87" s="21"/>
      <c r="O87" s="21"/>
      <c r="P87" s="21"/>
      <c r="Q87" s="22"/>
      <c r="S87" s="78">
        <f>SUM(F87:Q87)</f>
        <v>0</v>
      </c>
      <c r="T87" s="8"/>
    </row>
    <row r="88" spans="2:20" ht="14.25" thickBot="1">
      <c r="B88" s="11"/>
      <c r="C88" s="81" t="s">
        <v>86</v>
      </c>
      <c r="D88" s="8"/>
      <c r="E88" s="13">
        <v>6211</v>
      </c>
      <c r="F88" s="45">
        <v>53.57</v>
      </c>
      <c r="G88" s="29">
        <v>0</v>
      </c>
      <c r="H88" s="29">
        <v>0</v>
      </c>
      <c r="I88" s="29">
        <v>0</v>
      </c>
      <c r="J88" s="29">
        <v>0</v>
      </c>
      <c r="K88" s="29">
        <v>0</v>
      </c>
      <c r="L88" s="29">
        <v>0</v>
      </c>
      <c r="M88" s="29">
        <v>0</v>
      </c>
      <c r="N88" s="29">
        <v>0</v>
      </c>
      <c r="O88" s="29">
        <v>0</v>
      </c>
      <c r="P88" s="29">
        <v>0</v>
      </c>
      <c r="Q88" s="30">
        <v>0</v>
      </c>
      <c r="S88" s="79">
        <f>SUM(F88:Q88)</f>
        <v>53.57</v>
      </c>
      <c r="T88" s="8"/>
    </row>
    <row r="89" spans="2:20" ht="13.5">
      <c r="B89" s="11"/>
      <c r="E89" s="13"/>
      <c r="T89" s="8"/>
    </row>
    <row r="90" spans="2:20" ht="14.25" thickBot="1">
      <c r="B90" s="11"/>
      <c r="D90" s="8"/>
      <c r="E90" s="13"/>
      <c r="F90" s="47"/>
      <c r="G90" s="47"/>
      <c r="H90" s="47"/>
      <c r="I90" s="47"/>
      <c r="J90" s="47"/>
      <c r="K90" s="47"/>
      <c r="L90" s="47"/>
      <c r="M90" s="47"/>
      <c r="N90" s="47"/>
      <c r="O90" s="21"/>
      <c r="P90" s="21"/>
      <c r="Q90" s="21"/>
      <c r="T90" s="8"/>
    </row>
    <row r="91" spans="2:20" ht="14.25" thickBot="1">
      <c r="B91" s="11"/>
      <c r="C91" s="12" t="s">
        <v>87</v>
      </c>
      <c r="D91" s="8"/>
      <c r="E91" s="13"/>
      <c r="F91" s="48">
        <f t="shared" ref="F91:O91" si="27">SUM(F92:F94)</f>
        <v>38.22</v>
      </c>
      <c r="G91" s="49">
        <f t="shared" si="27"/>
        <v>60.77</v>
      </c>
      <c r="H91" s="49">
        <f t="shared" si="27"/>
        <v>0</v>
      </c>
      <c r="I91" s="49">
        <f t="shared" si="27"/>
        <v>1.4</v>
      </c>
      <c r="J91" s="49">
        <f t="shared" si="27"/>
        <v>76.400000000000006</v>
      </c>
      <c r="K91" s="49">
        <f t="shared" si="27"/>
        <v>39.51</v>
      </c>
      <c r="L91" s="49">
        <f>SUM(L92:L94)</f>
        <v>107.31</v>
      </c>
      <c r="M91" s="49">
        <f t="shared" si="27"/>
        <v>4.93</v>
      </c>
      <c r="N91" s="49">
        <f t="shared" si="27"/>
        <v>0</v>
      </c>
      <c r="O91" s="49">
        <f t="shared" si="27"/>
        <v>27.5</v>
      </c>
      <c r="P91" s="49">
        <f>SUM(P92:P94)</f>
        <v>0</v>
      </c>
      <c r="Q91" s="50">
        <f>SUM(Q92:Q94)</f>
        <v>0</v>
      </c>
      <c r="S91" s="77">
        <f t="shared" si="25"/>
        <v>356.04</v>
      </c>
      <c r="T91" s="8"/>
    </row>
    <row r="92" spans="2:20" ht="13.5">
      <c r="B92" s="11"/>
      <c r="C92" s="57" t="s">
        <v>88</v>
      </c>
      <c r="D92" s="8"/>
      <c r="E92" s="13">
        <v>6105</v>
      </c>
      <c r="F92" s="53">
        <v>38.22</v>
      </c>
      <c r="G92" s="54">
        <v>60.77</v>
      </c>
      <c r="H92" s="54">
        <v>0</v>
      </c>
      <c r="I92" s="54">
        <v>1.4</v>
      </c>
      <c r="J92" s="54">
        <v>76.400000000000006</v>
      </c>
      <c r="K92" s="54">
        <v>34.51</v>
      </c>
      <c r="L92" s="54">
        <v>107.31</v>
      </c>
      <c r="M92" s="54">
        <v>4.93</v>
      </c>
      <c r="N92" s="54">
        <v>0</v>
      </c>
      <c r="O92" s="21">
        <v>27.5</v>
      </c>
      <c r="P92" s="21">
        <v>0</v>
      </c>
      <c r="Q92" s="22">
        <v>0</v>
      </c>
      <c r="S92" s="78">
        <f t="shared" si="25"/>
        <v>351.04</v>
      </c>
      <c r="T92" s="8"/>
    </row>
    <row r="93" spans="2:20" ht="13.5" hidden="1">
      <c r="B93" s="11"/>
      <c r="C93" s="57" t="s">
        <v>89</v>
      </c>
      <c r="D93" s="8"/>
      <c r="E93" s="13"/>
      <c r="F93" s="68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/>
      <c r="M93" s="21"/>
      <c r="N93" s="21"/>
      <c r="O93" s="21"/>
      <c r="P93" s="21"/>
      <c r="Q93" s="22"/>
      <c r="S93" s="78">
        <f t="shared" si="25"/>
        <v>0</v>
      </c>
      <c r="T93" s="8"/>
    </row>
    <row r="94" spans="2:20" ht="14.25" thickBot="1">
      <c r="B94" s="11"/>
      <c r="C94" s="44" t="s">
        <v>22</v>
      </c>
      <c r="D94" s="8"/>
      <c r="E94" s="13">
        <v>6103</v>
      </c>
      <c r="F94" s="70">
        <v>0</v>
      </c>
      <c r="G94" s="29">
        <v>0</v>
      </c>
      <c r="H94" s="29">
        <v>0</v>
      </c>
      <c r="I94" s="29">
        <v>0</v>
      </c>
      <c r="J94" s="29">
        <v>0</v>
      </c>
      <c r="K94" s="29">
        <v>5</v>
      </c>
      <c r="L94" s="29">
        <v>0</v>
      </c>
      <c r="M94" s="29">
        <v>0</v>
      </c>
      <c r="N94" s="29">
        <v>0</v>
      </c>
      <c r="O94" s="29">
        <v>0</v>
      </c>
      <c r="P94" s="29">
        <v>0</v>
      </c>
      <c r="Q94" s="30">
        <v>0</v>
      </c>
      <c r="S94" s="79">
        <f t="shared" si="25"/>
        <v>5</v>
      </c>
      <c r="T94" s="8"/>
    </row>
    <row r="95" spans="2:20" ht="14.25" thickBot="1">
      <c r="B95" s="11"/>
      <c r="D95" s="8"/>
      <c r="E95" s="13"/>
      <c r="F95" s="47"/>
      <c r="G95" s="47"/>
      <c r="H95" s="47"/>
      <c r="I95" s="47"/>
      <c r="J95" s="47"/>
      <c r="K95" s="47"/>
      <c r="L95" s="47"/>
      <c r="M95" s="47"/>
      <c r="N95" s="47"/>
      <c r="O95" s="21"/>
      <c r="P95" s="21"/>
      <c r="Q95" s="21"/>
      <c r="T95" s="8"/>
    </row>
    <row r="96" spans="2:20" ht="15.75" customHeight="1" thickBot="1">
      <c r="B96" s="11"/>
      <c r="C96" s="12" t="s">
        <v>56</v>
      </c>
      <c r="D96" s="8"/>
      <c r="E96" s="13"/>
      <c r="F96" s="82">
        <f t="shared" ref="F96:I96" si="28">SUM(F97)</f>
        <v>38.799999999999997</v>
      </c>
      <c r="G96" s="83">
        <f t="shared" si="28"/>
        <v>36</v>
      </c>
      <c r="H96" s="83">
        <f t="shared" si="28"/>
        <v>65.66</v>
      </c>
      <c r="I96" s="83">
        <f t="shared" si="28"/>
        <v>72</v>
      </c>
      <c r="J96" s="83">
        <f t="shared" ref="J96:N96" si="29">SUM(J97)</f>
        <v>51.73</v>
      </c>
      <c r="K96" s="83">
        <f t="shared" si="29"/>
        <v>149.37</v>
      </c>
      <c r="L96" s="83">
        <f t="shared" si="29"/>
        <v>47.2</v>
      </c>
      <c r="M96" s="83">
        <f t="shared" si="29"/>
        <v>52.4</v>
      </c>
      <c r="N96" s="83">
        <f t="shared" si="29"/>
        <v>0</v>
      </c>
      <c r="O96" s="83">
        <f>+O97</f>
        <v>210</v>
      </c>
      <c r="P96" s="83">
        <f>+P97</f>
        <v>184.63</v>
      </c>
      <c r="Q96" s="84">
        <f>+Q97</f>
        <v>75</v>
      </c>
      <c r="S96" s="77">
        <f t="shared" si="25"/>
        <v>982.79</v>
      </c>
      <c r="T96" s="8"/>
    </row>
    <row r="97" spans="2:21" ht="14.25" thickBot="1">
      <c r="B97" s="11"/>
      <c r="C97" s="26" t="s">
        <v>90</v>
      </c>
      <c r="D97" s="8"/>
      <c r="E97" s="13">
        <v>6219</v>
      </c>
      <c r="F97" s="45">
        <v>38.799999999999997</v>
      </c>
      <c r="G97" s="29">
        <v>36</v>
      </c>
      <c r="H97" s="29">
        <v>65.66</v>
      </c>
      <c r="I97" s="29">
        <v>72</v>
      </c>
      <c r="J97" s="29">
        <v>51.73</v>
      </c>
      <c r="K97" s="29">
        <v>149.37</v>
      </c>
      <c r="L97" s="29">
        <v>47.2</v>
      </c>
      <c r="M97" s="29">
        <v>52.4</v>
      </c>
      <c r="N97" s="29">
        <v>0</v>
      </c>
      <c r="O97" s="29">
        <v>210</v>
      </c>
      <c r="P97" s="29">
        <v>184.63</v>
      </c>
      <c r="Q97" s="30">
        <v>75</v>
      </c>
      <c r="S97" s="78">
        <f t="shared" si="25"/>
        <v>982.79</v>
      </c>
      <c r="T97" s="8"/>
    </row>
    <row r="98" spans="2:21" ht="14.25" thickBot="1">
      <c r="B98" s="11"/>
      <c r="D98" s="8"/>
      <c r="E98" s="13"/>
      <c r="F98" s="47"/>
      <c r="G98" s="47"/>
      <c r="H98" s="47"/>
      <c r="I98" s="47"/>
      <c r="J98" s="47"/>
      <c r="K98" s="47"/>
      <c r="L98" s="47"/>
      <c r="M98" s="47"/>
      <c r="N98" s="47"/>
      <c r="O98" s="21"/>
      <c r="P98" s="21"/>
      <c r="Q98" s="21"/>
      <c r="S98" s="85"/>
      <c r="T98" s="8"/>
    </row>
    <row r="99" spans="2:21" ht="14.25" thickBot="1">
      <c r="B99" s="11"/>
      <c r="C99" s="12" t="s">
        <v>91</v>
      </c>
      <c r="D99" s="8"/>
      <c r="E99" s="13"/>
      <c r="F99" s="86">
        <f t="shared" ref="F99:Q99" si="30">SUM(F100)</f>
        <v>36.5</v>
      </c>
      <c r="G99" s="87">
        <f t="shared" si="30"/>
        <v>36.5</v>
      </c>
      <c r="H99" s="87">
        <f t="shared" si="30"/>
        <v>36.5</v>
      </c>
      <c r="I99" s="87">
        <f t="shared" si="30"/>
        <v>36.5</v>
      </c>
      <c r="J99" s="87">
        <f t="shared" si="30"/>
        <v>36.5</v>
      </c>
      <c r="K99" s="87">
        <f t="shared" si="30"/>
        <v>36.5</v>
      </c>
      <c r="L99" s="87">
        <f t="shared" si="30"/>
        <v>36.5</v>
      </c>
      <c r="M99" s="87">
        <f t="shared" si="30"/>
        <v>36.5</v>
      </c>
      <c r="N99" s="87">
        <f t="shared" si="30"/>
        <v>36.5</v>
      </c>
      <c r="O99" s="87">
        <f t="shared" si="30"/>
        <v>129.4</v>
      </c>
      <c r="P99" s="87">
        <f t="shared" si="30"/>
        <v>48.5</v>
      </c>
      <c r="Q99" s="88">
        <f t="shared" si="30"/>
        <v>48.5</v>
      </c>
      <c r="S99" s="77">
        <f t="shared" si="25"/>
        <v>554.9</v>
      </c>
      <c r="T99" s="8"/>
    </row>
    <row r="100" spans="2:21" ht="14.25" thickBot="1">
      <c r="B100" s="11"/>
      <c r="C100" s="26" t="s">
        <v>92</v>
      </c>
      <c r="D100" s="8"/>
      <c r="E100" s="13">
        <v>6223</v>
      </c>
      <c r="F100" s="70">
        <v>36.5</v>
      </c>
      <c r="G100" s="29">
        <v>36.5</v>
      </c>
      <c r="H100" s="29">
        <v>36.5</v>
      </c>
      <c r="I100" s="29">
        <v>36.5</v>
      </c>
      <c r="J100" s="29">
        <v>36.5</v>
      </c>
      <c r="K100" s="29">
        <v>36.5</v>
      </c>
      <c r="L100" s="29">
        <v>36.5</v>
      </c>
      <c r="M100" s="29">
        <v>36.5</v>
      </c>
      <c r="N100" s="29">
        <v>36.5</v>
      </c>
      <c r="O100" s="29">
        <v>129.4</v>
      </c>
      <c r="P100" s="29">
        <v>48.5</v>
      </c>
      <c r="Q100" s="66">
        <v>48.5</v>
      </c>
      <c r="S100" s="79">
        <f t="shared" si="25"/>
        <v>554.9</v>
      </c>
      <c r="T100" s="8"/>
    </row>
    <row r="101" spans="2:21" ht="14.25" thickBot="1">
      <c r="B101" s="11"/>
      <c r="D101" s="8"/>
      <c r="E101" s="13"/>
      <c r="F101" s="47"/>
      <c r="G101" s="47"/>
      <c r="H101" s="47"/>
      <c r="I101" s="47"/>
      <c r="J101" s="47"/>
      <c r="K101" s="47"/>
      <c r="L101" s="47"/>
      <c r="M101" s="47"/>
      <c r="N101" s="47"/>
      <c r="O101" s="21"/>
      <c r="P101" s="21"/>
      <c r="Q101" s="21"/>
      <c r="S101" s="8"/>
      <c r="T101" s="8"/>
    </row>
    <row r="102" spans="2:21" ht="14.25" thickBot="1">
      <c r="B102" s="11"/>
      <c r="C102" s="6" t="s">
        <v>93</v>
      </c>
      <c r="D102" s="8"/>
      <c r="E102" s="13"/>
      <c r="F102" s="89">
        <f>+F76+F84+F91+F96+F99</f>
        <v>3134.28</v>
      </c>
      <c r="G102" s="89">
        <f t="shared" ref="G102:Q102" si="31">+G76+G84+G91+G96+G99</f>
        <v>4365.5000000000009</v>
      </c>
      <c r="H102" s="89">
        <f t="shared" si="31"/>
        <v>3114.8099999999995</v>
      </c>
      <c r="I102" s="89">
        <f t="shared" si="31"/>
        <v>3898.7400000000002</v>
      </c>
      <c r="J102" s="89">
        <f t="shared" si="31"/>
        <v>5229.8799999999992</v>
      </c>
      <c r="K102" s="89">
        <f t="shared" si="31"/>
        <v>4424.26</v>
      </c>
      <c r="L102" s="89">
        <f t="shared" si="31"/>
        <v>6580.52</v>
      </c>
      <c r="M102" s="89">
        <f t="shared" si="31"/>
        <v>4218.2299999999996</v>
      </c>
      <c r="N102" s="89">
        <f t="shared" si="31"/>
        <v>4033.0699999999997</v>
      </c>
      <c r="O102" s="89">
        <f t="shared" si="31"/>
        <v>5017.2199999999993</v>
      </c>
      <c r="P102" s="89">
        <f t="shared" si="31"/>
        <v>3785.9700000000003</v>
      </c>
      <c r="Q102" s="89">
        <f t="shared" si="31"/>
        <v>5808.45</v>
      </c>
      <c r="S102" s="77">
        <f t="shared" si="25"/>
        <v>53610.93</v>
      </c>
      <c r="T102" s="8"/>
    </row>
    <row r="103" spans="2:21" ht="14.25" thickTop="1">
      <c r="B103" s="11"/>
      <c r="D103" s="8"/>
      <c r="E103" s="13"/>
      <c r="F103" s="47"/>
      <c r="G103" s="47"/>
      <c r="H103" s="47"/>
      <c r="I103" s="47"/>
      <c r="J103" s="47"/>
      <c r="K103" s="47"/>
      <c r="L103" s="47"/>
      <c r="M103" s="47"/>
      <c r="N103" s="47"/>
      <c r="O103" s="21"/>
      <c r="P103" s="21"/>
      <c r="Q103" s="67"/>
      <c r="S103" s="8"/>
      <c r="T103" s="8"/>
    </row>
    <row r="104" spans="2:21" ht="14.25" thickBot="1">
      <c r="D104" s="8"/>
      <c r="E104" s="13"/>
      <c r="F104" s="47"/>
      <c r="G104" s="47"/>
      <c r="H104" s="47"/>
      <c r="I104" s="47"/>
      <c r="J104" s="47"/>
      <c r="K104" s="47"/>
      <c r="L104" s="47"/>
      <c r="M104" s="47"/>
      <c r="N104" s="47"/>
      <c r="O104" s="21"/>
      <c r="P104" s="21"/>
      <c r="Q104" s="67"/>
      <c r="S104" s="8"/>
    </row>
    <row r="105" spans="2:21" ht="13.5" thickBot="1">
      <c r="C105" s="12" t="s">
        <v>2</v>
      </c>
      <c r="D105" s="8"/>
      <c r="E105" s="13"/>
      <c r="F105" s="48">
        <f t="shared" ref="F105:I105" si="32">SUM(F106:F108)</f>
        <v>514.92000000000007</v>
      </c>
      <c r="G105" s="49">
        <f t="shared" si="32"/>
        <v>478.64</v>
      </c>
      <c r="H105" s="49">
        <f t="shared" si="32"/>
        <v>476.85</v>
      </c>
      <c r="I105" s="49">
        <f t="shared" si="32"/>
        <v>478.09</v>
      </c>
      <c r="J105" s="49">
        <f>SUM(J106:J108)</f>
        <v>410.01000000000005</v>
      </c>
      <c r="K105" s="49">
        <f t="shared" ref="K105:O105" si="33">SUM(K106:K108)</f>
        <v>480.07</v>
      </c>
      <c r="L105" s="49">
        <f t="shared" si="33"/>
        <v>727.31000000000006</v>
      </c>
      <c r="M105" s="49">
        <f t="shared" si="33"/>
        <v>32.85</v>
      </c>
      <c r="N105" s="49">
        <f t="shared" si="33"/>
        <v>40.31</v>
      </c>
      <c r="O105" s="49">
        <f t="shared" si="33"/>
        <v>137.62</v>
      </c>
      <c r="P105" s="49">
        <f>SUM(P106:P108)</f>
        <v>51.73</v>
      </c>
      <c r="Q105" s="62">
        <f>SUM(Q106:Q108)</f>
        <v>44.32</v>
      </c>
      <c r="S105" s="77">
        <f t="shared" ref="S105:S110" si="34">SUM(F105:Q105)</f>
        <v>3872.7200000000003</v>
      </c>
    </row>
    <row r="106" spans="2:21" ht="13.5">
      <c r="C106" s="57" t="s">
        <v>94</v>
      </c>
      <c r="D106" s="8"/>
      <c r="E106" s="13">
        <v>6302</v>
      </c>
      <c r="F106" s="42">
        <v>70.31</v>
      </c>
      <c r="G106" s="21">
        <v>67.62</v>
      </c>
      <c r="H106" s="21">
        <v>156.85</v>
      </c>
      <c r="I106" s="21">
        <v>138.5</v>
      </c>
      <c r="J106" s="21">
        <v>0.6</v>
      </c>
      <c r="K106" s="21">
        <v>51.81</v>
      </c>
      <c r="L106" s="21">
        <v>154.58000000000001</v>
      </c>
      <c r="M106" s="21">
        <v>15.8</v>
      </c>
      <c r="N106" s="21">
        <v>40.31</v>
      </c>
      <c r="O106" s="67">
        <v>49.39</v>
      </c>
      <c r="P106" s="67">
        <v>51.73</v>
      </c>
      <c r="Q106" s="65">
        <v>44.32</v>
      </c>
      <c r="S106" s="78">
        <f t="shared" si="34"/>
        <v>841.81999999999994</v>
      </c>
    </row>
    <row r="107" spans="2:21" ht="13.5" hidden="1">
      <c r="C107" s="57" t="s">
        <v>95</v>
      </c>
      <c r="D107" s="8"/>
      <c r="E107" s="13"/>
      <c r="F107" s="42">
        <v>0</v>
      </c>
      <c r="G107" s="21">
        <v>0</v>
      </c>
      <c r="H107" s="21">
        <v>0</v>
      </c>
      <c r="I107" s="21">
        <v>0</v>
      </c>
      <c r="J107" s="21"/>
      <c r="K107" s="21">
        <v>0</v>
      </c>
      <c r="L107" s="21"/>
      <c r="M107" s="21"/>
      <c r="N107" s="21"/>
      <c r="O107" s="32"/>
      <c r="P107" s="32"/>
      <c r="Q107" s="90"/>
      <c r="S107" s="78">
        <f t="shared" si="34"/>
        <v>0</v>
      </c>
    </row>
    <row r="108" spans="2:21" ht="14.25" thickBot="1">
      <c r="C108" s="26" t="s">
        <v>96</v>
      </c>
      <c r="D108" s="8"/>
      <c r="E108" s="13">
        <v>8101</v>
      </c>
      <c r="F108" s="70">
        <v>444.61</v>
      </c>
      <c r="G108" s="71">
        <v>411.02</v>
      </c>
      <c r="H108" s="29">
        <v>320</v>
      </c>
      <c r="I108" s="29">
        <v>339.59</v>
      </c>
      <c r="J108" s="29">
        <v>409.41</v>
      </c>
      <c r="K108" s="29">
        <v>428.26</v>
      </c>
      <c r="L108" s="29">
        <v>572.73</v>
      </c>
      <c r="M108" s="29">
        <v>17.05</v>
      </c>
      <c r="N108" s="29">
        <v>0</v>
      </c>
      <c r="O108" s="29">
        <v>88.23</v>
      </c>
      <c r="P108" s="29">
        <v>0</v>
      </c>
      <c r="Q108" s="66">
        <v>0</v>
      </c>
      <c r="S108" s="79">
        <f t="shared" si="34"/>
        <v>3030.9000000000005</v>
      </c>
    </row>
    <row r="109" spans="2:21" ht="14.25" thickBot="1">
      <c r="D109" s="8"/>
      <c r="E109" s="13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S109" s="91"/>
    </row>
    <row r="110" spans="2:21" ht="13.5" thickBot="1">
      <c r="C110" s="6" t="s">
        <v>97</v>
      </c>
      <c r="D110" s="8"/>
      <c r="E110" s="13"/>
      <c r="F110" s="89">
        <f>+F105</f>
        <v>514.92000000000007</v>
      </c>
      <c r="G110" s="89">
        <f t="shared" ref="G110:Q110" si="35">+G105</f>
        <v>478.64</v>
      </c>
      <c r="H110" s="89">
        <f t="shared" si="35"/>
        <v>476.85</v>
      </c>
      <c r="I110" s="89">
        <f t="shared" si="35"/>
        <v>478.09</v>
      </c>
      <c r="J110" s="89">
        <f t="shared" si="35"/>
        <v>410.01000000000005</v>
      </c>
      <c r="K110" s="89">
        <f t="shared" si="35"/>
        <v>480.07</v>
      </c>
      <c r="L110" s="89">
        <f t="shared" si="35"/>
        <v>727.31000000000006</v>
      </c>
      <c r="M110" s="89">
        <f t="shared" si="35"/>
        <v>32.85</v>
      </c>
      <c r="N110" s="89">
        <f t="shared" si="35"/>
        <v>40.31</v>
      </c>
      <c r="O110" s="89">
        <f t="shared" si="35"/>
        <v>137.62</v>
      </c>
      <c r="P110" s="89">
        <f t="shared" si="35"/>
        <v>51.73</v>
      </c>
      <c r="Q110" s="89">
        <f t="shared" si="35"/>
        <v>44.32</v>
      </c>
      <c r="S110" s="77">
        <f t="shared" si="34"/>
        <v>3872.7200000000003</v>
      </c>
    </row>
    <row r="111" spans="2:21" ht="15" thickTop="1" thickBot="1">
      <c r="C111" s="1" t="s">
        <v>98</v>
      </c>
      <c r="D111" s="8"/>
      <c r="E111" s="13"/>
      <c r="F111" s="42"/>
      <c r="G111" s="21"/>
      <c r="H111" s="21"/>
      <c r="I111" s="21"/>
      <c r="J111" s="21"/>
      <c r="K111" s="21"/>
      <c r="L111" s="47"/>
      <c r="M111" s="47"/>
      <c r="N111" s="47"/>
      <c r="O111" s="47"/>
      <c r="P111" s="47"/>
      <c r="Q111" s="47"/>
      <c r="S111" s="91"/>
      <c r="T111" s="8"/>
    </row>
    <row r="112" spans="2:21" ht="14.25" thickBot="1">
      <c r="C112" s="92" t="s">
        <v>99</v>
      </c>
      <c r="D112" s="8"/>
      <c r="E112" s="13"/>
      <c r="F112" s="93">
        <f>+F72+F102+F110</f>
        <v>38551.689999999995</v>
      </c>
      <c r="G112" s="93">
        <f t="shared" ref="G112:Q112" si="36">+G72+G102+G110</f>
        <v>52189.100000000006</v>
      </c>
      <c r="H112" s="93">
        <f t="shared" si="36"/>
        <v>38042.579999999994</v>
      </c>
      <c r="I112" s="93">
        <f t="shared" si="36"/>
        <v>58911.329999999994</v>
      </c>
      <c r="J112" s="93">
        <f t="shared" si="36"/>
        <v>52749.19</v>
      </c>
      <c r="K112" s="93">
        <f t="shared" si="36"/>
        <v>40344.92</v>
      </c>
      <c r="L112" s="93">
        <f t="shared" si="36"/>
        <v>43972.039999999994</v>
      </c>
      <c r="M112" s="93">
        <f t="shared" si="36"/>
        <v>41949.090000000004</v>
      </c>
      <c r="N112" s="93">
        <f t="shared" si="36"/>
        <v>52437.409999999996</v>
      </c>
      <c r="O112" s="93">
        <f t="shared" si="36"/>
        <v>42873.54</v>
      </c>
      <c r="P112" s="93">
        <f t="shared" si="36"/>
        <v>39281.530000000006</v>
      </c>
      <c r="Q112" s="93">
        <f t="shared" si="36"/>
        <v>39915.33</v>
      </c>
      <c r="S112" s="77">
        <f>SUM(F112:Q112)</f>
        <v>541217.75</v>
      </c>
      <c r="T112" s="8"/>
      <c r="U112" s="8">
        <f>+S112-S76</f>
        <v>503213.94</v>
      </c>
    </row>
    <row r="113" spans="3:21" ht="14.25" thickBot="1">
      <c r="C113" s="92"/>
      <c r="E113" s="13"/>
      <c r="F113" s="91"/>
      <c r="G113" s="91"/>
      <c r="H113" s="91"/>
      <c r="I113" s="91"/>
      <c r="J113" s="91"/>
      <c r="K113" s="91"/>
      <c r="L113" s="91"/>
      <c r="M113" s="91"/>
      <c r="N113" s="91"/>
      <c r="O113" s="94"/>
      <c r="P113" s="94"/>
      <c r="Q113" s="94"/>
      <c r="T113" s="8"/>
    </row>
    <row r="114" spans="3:21" ht="14.25" thickBot="1">
      <c r="C114" s="92" t="s">
        <v>100</v>
      </c>
      <c r="E114" s="13"/>
      <c r="F114" s="77">
        <f>+F6-F112</f>
        <v>27259.500000000007</v>
      </c>
      <c r="G114" s="77">
        <f t="shared" ref="G114:R114" si="37">+G6-G112</f>
        <v>-5890.9600000000064</v>
      </c>
      <c r="H114" s="77">
        <f t="shared" si="37"/>
        <v>10370.100000000006</v>
      </c>
      <c r="I114" s="77">
        <f t="shared" si="37"/>
        <v>-10800.959999999992</v>
      </c>
      <c r="J114" s="77">
        <f t="shared" si="37"/>
        <v>-5858.8100000000122</v>
      </c>
      <c r="K114" s="77">
        <f t="shared" si="37"/>
        <v>10866.670000000006</v>
      </c>
      <c r="L114" s="77">
        <f t="shared" si="37"/>
        <v>11519.949999999997</v>
      </c>
      <c r="M114" s="77">
        <f t="shared" si="37"/>
        <v>4146.2000000000044</v>
      </c>
      <c r="N114" s="77">
        <f t="shared" si="37"/>
        <v>-4368.4899999999907</v>
      </c>
      <c r="O114" s="77">
        <f t="shared" si="37"/>
        <v>-2963.0100000000093</v>
      </c>
      <c r="P114" s="77">
        <f t="shared" si="37"/>
        <v>5976.4799999999886</v>
      </c>
      <c r="Q114" s="77">
        <f>+Q6-Q112</f>
        <v>8874.760000000002</v>
      </c>
      <c r="R114" s="77">
        <f t="shared" si="37"/>
        <v>0</v>
      </c>
      <c r="S114" s="77">
        <f>+S6-S112</f>
        <v>49131.429999999935</v>
      </c>
    </row>
    <row r="115" spans="3:21" ht="13.5">
      <c r="C115" s="92"/>
      <c r="E115" s="13"/>
      <c r="F115" s="91"/>
      <c r="G115" s="91"/>
      <c r="H115" s="91"/>
      <c r="I115" s="91"/>
      <c r="J115" s="91"/>
      <c r="K115" s="91"/>
      <c r="L115" s="91"/>
      <c r="M115" s="91"/>
      <c r="N115" s="91"/>
      <c r="O115" s="94"/>
      <c r="P115" s="94"/>
      <c r="Q115" s="94"/>
    </row>
    <row r="116" spans="3:21" ht="13.5">
      <c r="C116" s="92"/>
      <c r="E116" s="13"/>
      <c r="F116" s="91"/>
      <c r="G116" s="91"/>
      <c r="H116" s="91"/>
      <c r="I116" s="91"/>
      <c r="J116" s="91"/>
      <c r="K116" s="91"/>
      <c r="L116" s="91"/>
      <c r="M116" s="91"/>
      <c r="N116" s="91"/>
      <c r="O116" s="94"/>
      <c r="P116" s="94"/>
      <c r="Q116" s="94"/>
      <c r="S116" s="56"/>
    </row>
    <row r="117" spans="3:21" ht="13.5">
      <c r="C117" s="92"/>
      <c r="E117" s="13"/>
      <c r="F117" s="91"/>
      <c r="G117" s="91"/>
      <c r="H117" s="91"/>
      <c r="I117" s="91"/>
      <c r="J117" s="91"/>
      <c r="K117" s="91"/>
      <c r="L117" s="91"/>
      <c r="M117" s="91"/>
      <c r="N117" s="91"/>
      <c r="O117" s="94"/>
      <c r="P117" s="94"/>
      <c r="Q117" s="94"/>
    </row>
    <row r="118" spans="3:21" ht="14.25" thickBot="1">
      <c r="C118" s="92"/>
      <c r="E118" s="13"/>
      <c r="F118" s="91"/>
      <c r="G118" s="91"/>
      <c r="H118" s="91"/>
      <c r="I118" s="91"/>
      <c r="J118" s="91"/>
      <c r="K118" s="91"/>
      <c r="L118" s="91"/>
      <c r="M118" s="91"/>
      <c r="N118" s="91"/>
      <c r="O118" s="94"/>
      <c r="P118" s="94"/>
      <c r="Q118" s="94"/>
    </row>
    <row r="119" spans="3:21" ht="13.5">
      <c r="C119" s="12" t="s">
        <v>101</v>
      </c>
      <c r="E119" s="13"/>
      <c r="F119" s="95">
        <f t="shared" ref="F119:Q119" si="38">SUM(F120:F164)</f>
        <v>3616.07</v>
      </c>
      <c r="G119" s="96">
        <f t="shared" si="38"/>
        <v>8912.31</v>
      </c>
      <c r="H119" s="96">
        <f t="shared" si="38"/>
        <v>4685.16</v>
      </c>
      <c r="I119" s="96">
        <f t="shared" si="38"/>
        <v>140</v>
      </c>
      <c r="J119" s="96">
        <f t="shared" si="38"/>
        <v>0</v>
      </c>
      <c r="K119" s="96">
        <f t="shared" si="38"/>
        <v>6832.51</v>
      </c>
      <c r="L119" s="96">
        <f t="shared" si="38"/>
        <v>2894</v>
      </c>
      <c r="M119" s="96">
        <f t="shared" si="38"/>
        <v>9075.77</v>
      </c>
      <c r="N119" s="96">
        <f t="shared" si="38"/>
        <v>9757.7099999999991</v>
      </c>
      <c r="O119" s="96">
        <f t="shared" si="38"/>
        <v>0</v>
      </c>
      <c r="P119" s="96">
        <f t="shared" si="38"/>
        <v>531</v>
      </c>
      <c r="Q119" s="97">
        <f t="shared" si="38"/>
        <v>0</v>
      </c>
      <c r="R119" s="47"/>
      <c r="S119" s="98">
        <f>SUM(F119:R119)</f>
        <v>46444.530000000006</v>
      </c>
      <c r="T119" s="56"/>
      <c r="U119" s="56">
        <f>+S114-S119</f>
        <v>2686.8999999999287</v>
      </c>
    </row>
    <row r="120" spans="3:21" ht="13.5">
      <c r="C120" s="99" t="s">
        <v>102</v>
      </c>
      <c r="E120" s="13"/>
      <c r="F120" s="42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2"/>
      <c r="R120" s="47"/>
      <c r="S120" s="100">
        <f t="shared" ref="S120:S164" si="39">SUM(F120:Q120)</f>
        <v>0</v>
      </c>
    </row>
    <row r="121" spans="3:21" ht="12.75" hidden="1" customHeight="1">
      <c r="C121" s="99" t="s">
        <v>103</v>
      </c>
      <c r="E121" s="13"/>
      <c r="F121" s="42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2"/>
      <c r="R121" s="47"/>
      <c r="S121" s="100">
        <f t="shared" si="39"/>
        <v>0</v>
      </c>
    </row>
    <row r="122" spans="3:21" ht="12.75" customHeight="1">
      <c r="C122" s="99" t="s">
        <v>104</v>
      </c>
      <c r="E122" s="13"/>
      <c r="F122" s="42"/>
      <c r="G122" s="21"/>
      <c r="H122" s="21"/>
      <c r="I122" s="21"/>
      <c r="J122" s="21"/>
      <c r="K122" s="21"/>
      <c r="L122" s="21"/>
      <c r="M122" s="21">
        <v>3066.77</v>
      </c>
      <c r="N122" s="21">
        <f>4900+1665.71</f>
        <v>6565.71</v>
      </c>
      <c r="O122" s="21"/>
      <c r="P122" s="21"/>
      <c r="Q122" s="22"/>
      <c r="R122" s="47"/>
      <c r="S122" s="100">
        <f t="shared" si="39"/>
        <v>9632.48</v>
      </c>
    </row>
    <row r="123" spans="3:21" ht="13.5">
      <c r="C123" s="17" t="s">
        <v>105</v>
      </c>
      <c r="E123" s="13"/>
      <c r="F123" s="42"/>
      <c r="G123" s="21"/>
      <c r="H123" s="21"/>
      <c r="I123" s="21"/>
      <c r="J123" s="21"/>
      <c r="K123" s="21"/>
      <c r="L123" s="21">
        <v>1296</v>
      </c>
      <c r="M123" s="21"/>
      <c r="N123" s="21"/>
      <c r="O123" s="21"/>
      <c r="P123" s="21"/>
      <c r="Q123" s="22"/>
      <c r="R123" s="47"/>
      <c r="S123" s="100">
        <f t="shared" si="39"/>
        <v>1296</v>
      </c>
    </row>
    <row r="124" spans="3:21" ht="13.5" hidden="1">
      <c r="C124" s="57" t="s">
        <v>106</v>
      </c>
      <c r="E124" s="13"/>
      <c r="F124" s="42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2"/>
      <c r="R124" s="47"/>
      <c r="S124" s="100">
        <f t="shared" si="39"/>
        <v>0</v>
      </c>
    </row>
    <row r="125" spans="3:21" ht="38.25" hidden="1">
      <c r="C125" s="101" t="s">
        <v>107</v>
      </c>
      <c r="E125" s="13"/>
      <c r="F125" s="102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4"/>
      <c r="R125" s="105"/>
      <c r="S125" s="100">
        <f t="shared" si="39"/>
        <v>0</v>
      </c>
    </row>
    <row r="126" spans="3:21" ht="13.5" hidden="1">
      <c r="C126" s="17"/>
      <c r="E126" s="13"/>
      <c r="F126" s="102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4"/>
      <c r="R126" s="105"/>
      <c r="S126" s="100">
        <f t="shared" si="39"/>
        <v>0</v>
      </c>
    </row>
    <row r="127" spans="3:21" ht="13.5" hidden="1">
      <c r="C127" s="57" t="s">
        <v>108</v>
      </c>
      <c r="E127" s="13"/>
      <c r="F127" s="42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2"/>
      <c r="R127" s="47"/>
      <c r="S127" s="100">
        <f t="shared" si="39"/>
        <v>0</v>
      </c>
    </row>
    <row r="128" spans="3:21" ht="13.5" hidden="1">
      <c r="C128" s="57" t="s">
        <v>109</v>
      </c>
      <c r="E128" s="13"/>
      <c r="F128" s="42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2"/>
      <c r="R128" s="47"/>
      <c r="S128" s="100">
        <f t="shared" si="39"/>
        <v>0</v>
      </c>
    </row>
    <row r="129" spans="3:19" ht="13.5" hidden="1">
      <c r="C129" s="57" t="s">
        <v>110</v>
      </c>
      <c r="E129" s="13"/>
      <c r="F129" s="42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2"/>
      <c r="R129" s="47"/>
      <c r="S129" s="100">
        <f t="shared" si="39"/>
        <v>0</v>
      </c>
    </row>
    <row r="130" spans="3:19" ht="15.75" customHeight="1">
      <c r="C130" s="106" t="s">
        <v>111</v>
      </c>
      <c r="E130" s="13"/>
      <c r="F130" s="102"/>
      <c r="G130" s="103"/>
      <c r="H130" s="103"/>
      <c r="I130" s="103"/>
      <c r="J130" s="103"/>
      <c r="K130" s="103"/>
      <c r="L130" s="103"/>
      <c r="M130" s="103"/>
      <c r="N130" s="103">
        <v>3192</v>
      </c>
      <c r="O130" s="103"/>
      <c r="P130" s="103"/>
      <c r="Q130" s="104"/>
      <c r="R130" s="105"/>
      <c r="S130" s="100">
        <f t="shared" si="39"/>
        <v>3192</v>
      </c>
    </row>
    <row r="131" spans="3:19" ht="14.25" customHeight="1">
      <c r="C131" s="106" t="s">
        <v>112</v>
      </c>
      <c r="E131" s="13"/>
      <c r="F131" s="102"/>
      <c r="G131" s="103"/>
      <c r="H131" s="103"/>
      <c r="I131" s="103"/>
      <c r="J131" s="103"/>
      <c r="K131" s="103"/>
      <c r="L131" s="103"/>
      <c r="M131" s="103">
        <v>540</v>
      </c>
      <c r="N131" s="103"/>
      <c r="O131" s="103"/>
      <c r="P131" s="103"/>
      <c r="Q131" s="104"/>
      <c r="R131" s="105"/>
      <c r="S131" s="100">
        <f t="shared" si="39"/>
        <v>540</v>
      </c>
    </row>
    <row r="132" spans="3:19" ht="13.5" hidden="1">
      <c r="C132" s="57" t="s">
        <v>113</v>
      </c>
      <c r="E132" s="13"/>
      <c r="F132" s="42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2"/>
      <c r="R132" s="47"/>
      <c r="S132" s="100">
        <f t="shared" si="39"/>
        <v>0</v>
      </c>
    </row>
    <row r="133" spans="3:19" ht="13.5">
      <c r="C133" s="57" t="s">
        <v>114</v>
      </c>
      <c r="E133" s="13"/>
      <c r="F133" s="42">
        <v>256.07</v>
      </c>
      <c r="G133" s="21"/>
      <c r="H133" s="21"/>
      <c r="I133" s="21"/>
      <c r="J133" s="21"/>
      <c r="K133" s="21">
        <v>363.51</v>
      </c>
      <c r="L133" s="21"/>
      <c r="M133" s="21"/>
      <c r="N133" s="21"/>
      <c r="O133" s="21"/>
      <c r="P133" s="21"/>
      <c r="Q133" s="22"/>
      <c r="R133" s="47"/>
      <c r="S133" s="100">
        <f t="shared" si="39"/>
        <v>619.57999999999993</v>
      </c>
    </row>
    <row r="134" spans="3:19" ht="13.5" hidden="1">
      <c r="C134" s="57" t="s">
        <v>115</v>
      </c>
      <c r="E134" s="13"/>
      <c r="F134" s="42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2"/>
      <c r="R134" s="47"/>
      <c r="S134" s="100">
        <f t="shared" si="39"/>
        <v>0</v>
      </c>
    </row>
    <row r="135" spans="3:19" ht="13.5" hidden="1">
      <c r="C135" s="57" t="s">
        <v>116</v>
      </c>
      <c r="E135" s="13"/>
      <c r="F135" s="42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2"/>
      <c r="R135" s="47"/>
      <c r="S135" s="100">
        <f t="shared" si="39"/>
        <v>0</v>
      </c>
    </row>
    <row r="136" spans="3:19" ht="13.5">
      <c r="C136" s="57" t="s">
        <v>117</v>
      </c>
      <c r="E136" s="13"/>
      <c r="F136" s="42"/>
      <c r="G136" s="21"/>
      <c r="H136" s="21"/>
      <c r="I136" s="21"/>
      <c r="J136" s="21"/>
      <c r="K136" s="21">
        <v>1000</v>
      </c>
      <c r="L136" s="21">
        <v>1598</v>
      </c>
      <c r="M136" s="21"/>
      <c r="N136" s="21"/>
      <c r="O136" s="21"/>
      <c r="P136" s="21"/>
      <c r="Q136" s="22"/>
      <c r="R136" s="47"/>
      <c r="S136" s="100">
        <f t="shared" si="39"/>
        <v>2598</v>
      </c>
    </row>
    <row r="137" spans="3:19" ht="13.5" hidden="1">
      <c r="C137" s="57" t="s">
        <v>118</v>
      </c>
      <c r="E137" s="13"/>
      <c r="F137" s="42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2"/>
      <c r="R137" s="47"/>
      <c r="S137" s="100">
        <f t="shared" si="39"/>
        <v>0</v>
      </c>
    </row>
    <row r="138" spans="3:19" ht="13.5">
      <c r="C138" s="99" t="s">
        <v>119</v>
      </c>
      <c r="E138" s="13"/>
      <c r="F138" s="42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2"/>
      <c r="R138" s="47"/>
      <c r="S138" s="100">
        <f t="shared" si="39"/>
        <v>0</v>
      </c>
    </row>
    <row r="139" spans="3:19" ht="13.5" hidden="1">
      <c r="C139" s="57" t="s">
        <v>120</v>
      </c>
      <c r="E139" s="13"/>
      <c r="F139" s="42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2"/>
      <c r="R139" s="47"/>
      <c r="S139" s="100">
        <f t="shared" si="39"/>
        <v>0</v>
      </c>
    </row>
    <row r="140" spans="3:19" ht="13.5" hidden="1">
      <c r="C140" s="57" t="s">
        <v>121</v>
      </c>
      <c r="E140" s="13"/>
      <c r="F140" s="42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2"/>
      <c r="R140" s="47"/>
      <c r="S140" s="100">
        <f t="shared" si="39"/>
        <v>0</v>
      </c>
    </row>
    <row r="141" spans="3:19" ht="13.5" hidden="1">
      <c r="C141" s="57" t="s">
        <v>122</v>
      </c>
      <c r="E141" s="13"/>
      <c r="F141" s="42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2"/>
      <c r="R141" s="47"/>
      <c r="S141" s="100">
        <f t="shared" si="39"/>
        <v>0</v>
      </c>
    </row>
    <row r="142" spans="3:19" ht="13.5" hidden="1">
      <c r="C142" s="57" t="s">
        <v>123</v>
      </c>
      <c r="E142" s="13"/>
      <c r="F142" s="42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2"/>
      <c r="R142" s="47"/>
      <c r="S142" s="100">
        <f t="shared" si="39"/>
        <v>0</v>
      </c>
    </row>
    <row r="143" spans="3:19" ht="13.5" hidden="1">
      <c r="C143" s="57" t="s">
        <v>124</v>
      </c>
      <c r="E143" s="13"/>
      <c r="F143" s="42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2"/>
      <c r="R143" s="47"/>
      <c r="S143" s="100">
        <f t="shared" si="39"/>
        <v>0</v>
      </c>
    </row>
    <row r="144" spans="3:19" ht="13.5" hidden="1">
      <c r="C144" s="57" t="s">
        <v>125</v>
      </c>
      <c r="E144" s="13"/>
      <c r="F144" s="42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2"/>
      <c r="R144" s="47"/>
      <c r="S144" s="100">
        <f t="shared" si="39"/>
        <v>0</v>
      </c>
    </row>
    <row r="145" spans="3:19" ht="13.5">
      <c r="C145" s="17" t="s">
        <v>126</v>
      </c>
      <c r="E145" s="13"/>
      <c r="F145" s="42"/>
      <c r="G145" s="21">
        <v>319</v>
      </c>
      <c r="H145" s="21"/>
      <c r="I145" s="21"/>
      <c r="J145" s="21"/>
      <c r="K145" s="21"/>
      <c r="L145" s="21"/>
      <c r="M145" s="21"/>
      <c r="N145" s="21"/>
      <c r="O145" s="21"/>
      <c r="P145" s="21">
        <v>391</v>
      </c>
      <c r="Q145" s="22"/>
      <c r="R145" s="47"/>
      <c r="S145" s="100">
        <f t="shared" si="39"/>
        <v>710</v>
      </c>
    </row>
    <row r="146" spans="3:19" ht="13.5">
      <c r="C146" s="17" t="s">
        <v>127</v>
      </c>
      <c r="E146" s="13"/>
      <c r="F146" s="42"/>
      <c r="G146" s="21"/>
      <c r="H146" s="21">
        <v>388.5</v>
      </c>
      <c r="I146" s="21"/>
      <c r="J146" s="21"/>
      <c r="K146" s="21"/>
      <c r="L146" s="21"/>
      <c r="M146" s="21"/>
      <c r="N146" s="21"/>
      <c r="O146" s="21"/>
      <c r="P146" s="21"/>
      <c r="Q146" s="22"/>
      <c r="R146" s="47"/>
      <c r="S146" s="100">
        <f t="shared" si="39"/>
        <v>388.5</v>
      </c>
    </row>
    <row r="147" spans="3:19" ht="13.5">
      <c r="C147" s="17" t="s">
        <v>128</v>
      </c>
      <c r="E147" s="13"/>
      <c r="F147" s="42"/>
      <c r="G147" s="21"/>
      <c r="H147" s="21"/>
      <c r="I147" s="21"/>
      <c r="J147" s="32"/>
      <c r="K147" s="21">
        <f>4314+1155</f>
        <v>5469</v>
      </c>
      <c r="L147" s="21"/>
      <c r="M147" s="21">
        <f>4314+1155</f>
        <v>5469</v>
      </c>
      <c r="N147" s="21"/>
      <c r="O147" s="21"/>
      <c r="P147" s="21"/>
      <c r="Q147" s="22"/>
      <c r="R147" s="47"/>
      <c r="S147" s="100">
        <f t="shared" si="39"/>
        <v>10938</v>
      </c>
    </row>
    <row r="148" spans="3:19" ht="13.5">
      <c r="C148" s="17" t="s">
        <v>129</v>
      </c>
      <c r="E148" s="13"/>
      <c r="F148" s="102">
        <v>3360</v>
      </c>
      <c r="G148" s="103">
        <v>8593.31</v>
      </c>
      <c r="H148" s="103">
        <v>4296.66</v>
      </c>
      <c r="I148" s="103"/>
      <c r="J148" s="103"/>
      <c r="K148" s="103"/>
      <c r="L148" s="103"/>
      <c r="M148" s="103"/>
      <c r="N148" s="103"/>
      <c r="O148" s="103"/>
      <c r="P148" s="103"/>
      <c r="Q148" s="104"/>
      <c r="R148" s="105"/>
      <c r="S148" s="100">
        <f t="shared" si="39"/>
        <v>16249.97</v>
      </c>
    </row>
    <row r="149" spans="3:19" ht="13.5">
      <c r="C149" s="99" t="s">
        <v>130</v>
      </c>
      <c r="E149" s="13"/>
      <c r="F149" s="102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4"/>
      <c r="R149" s="105"/>
      <c r="S149" s="100">
        <f t="shared" si="39"/>
        <v>0</v>
      </c>
    </row>
    <row r="150" spans="3:19" ht="25.5" hidden="1">
      <c r="C150" s="101" t="s">
        <v>131</v>
      </c>
      <c r="E150" s="13"/>
      <c r="F150" s="42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2"/>
      <c r="R150" s="47"/>
      <c r="S150" s="100">
        <f t="shared" si="39"/>
        <v>0</v>
      </c>
    </row>
    <row r="151" spans="3:19" ht="13.5" hidden="1">
      <c r="C151" s="101" t="s">
        <v>132</v>
      </c>
      <c r="E151" s="13"/>
      <c r="F151" s="42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2"/>
      <c r="R151" s="47"/>
      <c r="S151" s="100">
        <f t="shared" si="39"/>
        <v>0</v>
      </c>
    </row>
    <row r="152" spans="3:19" ht="13.5" hidden="1">
      <c r="C152" s="57" t="s">
        <v>133</v>
      </c>
      <c r="E152" s="13"/>
      <c r="F152" s="42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2"/>
      <c r="R152" s="47"/>
      <c r="S152" s="100">
        <f t="shared" si="39"/>
        <v>0</v>
      </c>
    </row>
    <row r="153" spans="3:19" ht="13.5">
      <c r="C153" s="17" t="s">
        <v>134</v>
      </c>
      <c r="E153" s="13"/>
      <c r="F153" s="42"/>
      <c r="G153" s="21"/>
      <c r="H153" s="21"/>
      <c r="I153" s="21">
        <v>140</v>
      </c>
      <c r="J153" s="21"/>
      <c r="K153" s="21"/>
      <c r="L153" s="21"/>
      <c r="M153" s="21"/>
      <c r="N153" s="21"/>
      <c r="O153" s="21"/>
      <c r="P153" s="21"/>
      <c r="Q153" s="22"/>
      <c r="R153" s="47"/>
      <c r="S153" s="100">
        <f t="shared" si="39"/>
        <v>140</v>
      </c>
    </row>
    <row r="154" spans="3:19" ht="13.5">
      <c r="C154" s="99" t="s">
        <v>135</v>
      </c>
      <c r="E154" s="13"/>
      <c r="F154" s="42"/>
      <c r="G154" s="21"/>
      <c r="H154" s="21"/>
      <c r="I154" s="21"/>
      <c r="J154" s="21"/>
      <c r="K154" s="21"/>
      <c r="L154" s="21"/>
      <c r="M154" s="21"/>
      <c r="N154" s="21"/>
      <c r="O154" s="21"/>
      <c r="P154" s="21">
        <v>140</v>
      </c>
      <c r="Q154" s="22"/>
      <c r="R154" s="47"/>
      <c r="S154" s="100">
        <f t="shared" si="39"/>
        <v>140</v>
      </c>
    </row>
    <row r="155" spans="3:19" ht="13.5" hidden="1">
      <c r="C155" s="107" t="s">
        <v>136</v>
      </c>
      <c r="E155" s="13"/>
      <c r="F155" s="42"/>
      <c r="G155" s="21"/>
      <c r="H155" s="108"/>
      <c r="I155" s="21"/>
      <c r="J155" s="21"/>
      <c r="K155" s="21"/>
      <c r="L155" s="21"/>
      <c r="M155" s="21"/>
      <c r="N155" s="21"/>
      <c r="O155" s="21"/>
      <c r="P155" s="21"/>
      <c r="Q155" s="22"/>
      <c r="R155" s="47"/>
      <c r="S155" s="100">
        <f t="shared" si="39"/>
        <v>0</v>
      </c>
    </row>
    <row r="156" spans="3:19" ht="13.5" hidden="1">
      <c r="C156" s="57" t="s">
        <v>137</v>
      </c>
      <c r="E156" s="13"/>
      <c r="F156" s="42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2"/>
      <c r="R156" s="47"/>
      <c r="S156" s="100">
        <f t="shared" si="39"/>
        <v>0</v>
      </c>
    </row>
    <row r="157" spans="3:19" ht="51" hidden="1">
      <c r="C157" s="101" t="s">
        <v>138</v>
      </c>
      <c r="E157" s="13"/>
      <c r="F157" s="102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4"/>
      <c r="R157" s="105"/>
      <c r="S157" s="100">
        <f t="shared" si="39"/>
        <v>0</v>
      </c>
    </row>
    <row r="158" spans="3:19" ht="13.5" hidden="1">
      <c r="C158" s="57" t="s">
        <v>139</v>
      </c>
      <c r="E158" s="13"/>
      <c r="F158" s="102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4"/>
      <c r="R158" s="105"/>
      <c r="S158" s="100">
        <f t="shared" si="39"/>
        <v>0</v>
      </c>
    </row>
    <row r="159" spans="3:19" ht="38.25" hidden="1">
      <c r="C159" s="101" t="s">
        <v>140</v>
      </c>
      <c r="E159" s="13"/>
      <c r="F159" s="42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2"/>
      <c r="R159" s="47"/>
      <c r="S159" s="100">
        <f t="shared" si="39"/>
        <v>0</v>
      </c>
    </row>
    <row r="160" spans="3:19" ht="25.5" hidden="1">
      <c r="C160" s="101" t="s">
        <v>141</v>
      </c>
      <c r="E160" s="13"/>
      <c r="F160" s="42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2"/>
      <c r="R160" s="47"/>
      <c r="S160" s="100">
        <f t="shared" si="39"/>
        <v>0</v>
      </c>
    </row>
    <row r="161" spans="2:22" ht="13.5" hidden="1">
      <c r="C161" s="57" t="s">
        <v>142</v>
      </c>
      <c r="E161" s="13"/>
      <c r="F161" s="42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2"/>
      <c r="R161" s="47"/>
      <c r="S161" s="100">
        <f t="shared" si="39"/>
        <v>0</v>
      </c>
    </row>
    <row r="162" spans="2:22" ht="13.5" hidden="1">
      <c r="C162" s="57" t="s">
        <v>143</v>
      </c>
      <c r="E162" s="13"/>
      <c r="F162" s="42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2"/>
      <c r="R162" s="47"/>
      <c r="S162" s="100">
        <f t="shared" si="39"/>
        <v>0</v>
      </c>
    </row>
    <row r="163" spans="2:22" ht="13.5" hidden="1">
      <c r="C163" s="57" t="s">
        <v>144</v>
      </c>
      <c r="E163" s="13"/>
      <c r="F163" s="42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2"/>
      <c r="R163" s="47"/>
      <c r="S163" s="100">
        <f t="shared" si="39"/>
        <v>0</v>
      </c>
    </row>
    <row r="164" spans="2:22" ht="14.25" thickBot="1">
      <c r="C164" s="44"/>
      <c r="E164" s="13"/>
      <c r="F164" s="45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30"/>
      <c r="R164" s="47"/>
      <c r="S164" s="109">
        <f t="shared" si="39"/>
        <v>0</v>
      </c>
    </row>
    <row r="165" spans="2:22" ht="14.25" thickBot="1">
      <c r="E165" s="13"/>
      <c r="R165" s="47"/>
      <c r="S165" s="47"/>
    </row>
    <row r="166" spans="2:22" ht="14.25" thickBot="1">
      <c r="C166" s="110" t="s">
        <v>145</v>
      </c>
      <c r="E166" s="13"/>
      <c r="F166" s="3" t="s">
        <v>6</v>
      </c>
      <c r="G166" s="3" t="s">
        <v>7</v>
      </c>
      <c r="H166" s="3" t="s">
        <v>8</v>
      </c>
      <c r="I166" s="3" t="s">
        <v>9</v>
      </c>
      <c r="J166" s="3" t="s">
        <v>10</v>
      </c>
      <c r="K166" s="3" t="s">
        <v>11</v>
      </c>
      <c r="L166" s="3" t="s">
        <v>12</v>
      </c>
      <c r="M166" s="3" t="s">
        <v>13</v>
      </c>
      <c r="N166" s="3" t="s">
        <v>14</v>
      </c>
      <c r="O166" s="111" t="s">
        <v>146</v>
      </c>
      <c r="P166" s="112">
        <v>43770</v>
      </c>
      <c r="Q166" s="112">
        <v>43800</v>
      </c>
      <c r="S166" s="113"/>
    </row>
    <row r="167" spans="2:22" ht="13.5">
      <c r="B167" s="11"/>
      <c r="C167" s="17" t="s">
        <v>0</v>
      </c>
      <c r="D167" s="8"/>
      <c r="E167" s="13">
        <v>4210</v>
      </c>
      <c r="F167" s="18">
        <v>0</v>
      </c>
      <c r="G167" s="19">
        <v>0</v>
      </c>
      <c r="H167" s="19">
        <v>0</v>
      </c>
      <c r="I167" s="19">
        <v>0</v>
      </c>
      <c r="J167" s="19">
        <v>0</v>
      </c>
      <c r="K167" s="19">
        <v>0</v>
      </c>
      <c r="L167" s="19">
        <v>5819.7</v>
      </c>
      <c r="M167" s="19">
        <v>973.33</v>
      </c>
      <c r="N167" s="19">
        <f>571.52+519.44</f>
        <v>1090.96</v>
      </c>
      <c r="O167" s="21">
        <f>60+10</f>
        <v>70</v>
      </c>
      <c r="P167" s="21">
        <f>130+20</f>
        <v>150</v>
      </c>
      <c r="Q167" s="22">
        <v>26.79</v>
      </c>
      <c r="S167" s="25">
        <f>SUM(F167:Q167)</f>
        <v>8130.78</v>
      </c>
      <c r="T167" s="8"/>
    </row>
    <row r="168" spans="2:22" ht="13.5">
      <c r="B168" s="11"/>
      <c r="C168" s="17" t="s">
        <v>147</v>
      </c>
      <c r="D168" s="8"/>
      <c r="E168" s="13">
        <v>62331</v>
      </c>
      <c r="F168" s="53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141.31</v>
      </c>
      <c r="L168" s="54">
        <f>3710.06-366.97</f>
        <v>3343.09</v>
      </c>
      <c r="M168" s="54">
        <v>192.54</v>
      </c>
      <c r="N168" s="54">
        <v>0</v>
      </c>
      <c r="O168" s="21">
        <v>0</v>
      </c>
      <c r="P168" s="21">
        <v>0</v>
      </c>
      <c r="Q168" s="22"/>
      <c r="S168" s="114">
        <f t="shared" ref="S168" si="40">SUM(F168:Q168)</f>
        <v>3676.94</v>
      </c>
      <c r="T168" s="8"/>
    </row>
    <row r="169" spans="2:22" ht="14.25" thickBot="1">
      <c r="B169" s="11"/>
      <c r="C169" s="26" t="s">
        <v>148</v>
      </c>
      <c r="D169" s="8"/>
      <c r="E169" s="13"/>
      <c r="F169" s="27"/>
      <c r="G169" s="28"/>
      <c r="H169" s="28"/>
      <c r="I169" s="28"/>
      <c r="J169" s="28"/>
      <c r="K169" s="28"/>
      <c r="L169" s="28"/>
      <c r="M169" s="28"/>
      <c r="N169" s="28"/>
      <c r="O169" s="29"/>
      <c r="P169" s="29"/>
      <c r="Q169" s="30"/>
      <c r="S169" s="115">
        <f>S167-S168</f>
        <v>4453.84</v>
      </c>
      <c r="T169" s="8"/>
      <c r="V169" s="56">
        <f>+S169+S175</f>
        <v>6563.2000000000007</v>
      </c>
    </row>
    <row r="170" spans="2:22" ht="13.5">
      <c r="B170" s="11"/>
      <c r="E170" s="13"/>
      <c r="T170" s="8"/>
    </row>
    <row r="171" spans="2:22" ht="14.25" thickBot="1">
      <c r="E171" s="13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spans="2:22" ht="14.25" thickBot="1">
      <c r="C172" s="110" t="s">
        <v>149</v>
      </c>
      <c r="E172" s="13"/>
      <c r="F172" s="3" t="s">
        <v>6</v>
      </c>
      <c r="G172" s="3" t="s">
        <v>7</v>
      </c>
      <c r="H172" s="3" t="s">
        <v>8</v>
      </c>
      <c r="I172" s="3" t="s">
        <v>9</v>
      </c>
      <c r="J172" s="3" t="s">
        <v>10</v>
      </c>
      <c r="K172" s="3" t="s">
        <v>11</v>
      </c>
      <c r="L172" s="3" t="s">
        <v>12</v>
      </c>
      <c r="M172" s="3" t="s">
        <v>13</v>
      </c>
      <c r="N172" s="3" t="s">
        <v>14</v>
      </c>
      <c r="O172" s="116" t="s">
        <v>146</v>
      </c>
      <c r="P172" s="112">
        <v>43770</v>
      </c>
      <c r="Q172" s="112">
        <v>43800</v>
      </c>
      <c r="S172" s="113"/>
    </row>
    <row r="173" spans="2:22" ht="13.5">
      <c r="C173" s="17" t="s">
        <v>0</v>
      </c>
      <c r="D173" s="8"/>
      <c r="E173" s="13">
        <v>429</v>
      </c>
      <c r="F173" s="18">
        <v>0</v>
      </c>
      <c r="G173" s="19">
        <v>0</v>
      </c>
      <c r="H173" s="19">
        <v>0</v>
      </c>
      <c r="I173" s="19">
        <v>0</v>
      </c>
      <c r="J173" s="19">
        <v>0</v>
      </c>
      <c r="K173" s="19">
        <v>0</v>
      </c>
      <c r="L173" s="117">
        <v>170</v>
      </c>
      <c r="M173" s="117">
        <v>3250</v>
      </c>
      <c r="N173" s="117">
        <v>6350</v>
      </c>
      <c r="O173" s="67">
        <v>690</v>
      </c>
      <c r="P173" s="67">
        <v>250</v>
      </c>
      <c r="Q173" s="65">
        <v>230</v>
      </c>
      <c r="S173" s="25">
        <f>SUM(F173:Q173)</f>
        <v>10940</v>
      </c>
    </row>
    <row r="174" spans="2:22" ht="13.5">
      <c r="C174" s="17" t="s">
        <v>150</v>
      </c>
      <c r="D174" s="8"/>
      <c r="E174" s="13">
        <v>6214</v>
      </c>
      <c r="F174" s="53">
        <v>0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118">
        <f>1741.31+1593.11</f>
        <v>3334.42</v>
      </c>
      <c r="M174" s="118">
        <v>1805.86</v>
      </c>
      <c r="N174" s="118">
        <v>1449.68</v>
      </c>
      <c r="O174" s="67">
        <f>2240.68</f>
        <v>2240.6799999999998</v>
      </c>
      <c r="P174" s="67">
        <v>0</v>
      </c>
      <c r="Q174" s="65">
        <v>0</v>
      </c>
      <c r="R174" s="119"/>
      <c r="S174" s="120">
        <f t="shared" ref="S174" si="41">SUM(F174:Q174)</f>
        <v>8830.64</v>
      </c>
    </row>
    <row r="175" spans="2:22" ht="14.25" thickBot="1">
      <c r="C175" s="26" t="s">
        <v>148</v>
      </c>
      <c r="D175" s="8"/>
      <c r="E175" s="13"/>
      <c r="F175" s="27"/>
      <c r="G175" s="28"/>
      <c r="H175" s="28"/>
      <c r="I175" s="28"/>
      <c r="J175" s="28"/>
      <c r="K175" s="28"/>
      <c r="L175" s="28"/>
      <c r="M175" s="28"/>
      <c r="N175" s="28"/>
      <c r="O175" s="29"/>
      <c r="P175" s="29"/>
      <c r="Q175" s="30"/>
      <c r="S175" s="115">
        <f>S173-S174</f>
        <v>2109.3600000000006</v>
      </c>
    </row>
    <row r="176" spans="2:22" ht="13.5"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spans="6:19" ht="13.5"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spans="6:19">
      <c r="S178" s="8"/>
    </row>
  </sheetData>
  <mergeCells count="2">
    <mergeCell ref="C1:S1"/>
    <mergeCell ref="C2:S2"/>
  </mergeCells>
  <pageMargins left="0.7" right="0.7" top="0.75" bottom="0.75" header="0.3" footer="0.3"/>
  <pageSetup paperSize="9" scale="9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RESULTADOS INTEGRALES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Adm</dc:creator>
  <cp:lastModifiedBy>USUARIO</cp:lastModifiedBy>
  <dcterms:created xsi:type="dcterms:W3CDTF">2020-06-05T17:51:54Z</dcterms:created>
  <dcterms:modified xsi:type="dcterms:W3CDTF">2021-07-13T19:43:32Z</dcterms:modified>
</cp:coreProperties>
</file>